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activeX/activeX1.xml" ContentType="application/vnd.ms-office.activeX+xml"/>
  <Override PartName="/xl/activeX/activeX1.bin" ContentType="application/vnd.ms-office.activeX"/>
  <Override PartName="/xl/drawings/drawing5.xml" ContentType="application/vnd.openxmlformats-officedocument.drawing+xml"/>
  <Override PartName="/xl/drawings/drawing6.xml" ContentType="application/vnd.openxmlformats-officedocument.drawing+xml"/>
  <Override PartName="/xl/charts/chart1.xml" ContentType="application/vnd.openxmlformats-officedocument.drawingml.chart+xml"/>
  <Override PartName="/xl/drawings/drawing7.xml" ContentType="application/vnd.openxmlformats-officedocument.drawing+xml"/>
  <Override PartName="/xl/drawings/drawing8.xml" ContentType="application/vnd.openxmlformats-officedocument.drawing+xml"/>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9585" yWindow="-15" windowWidth="9630" windowHeight="11940" tabRatio="892"/>
  </bookViews>
  <sheets>
    <sheet name="シート説明" sheetId="66" r:id="rId1"/>
    <sheet name="基礎情報" sheetId="61" r:id="rId2"/>
    <sheet name="現業務調査" sheetId="9" r:id="rId3"/>
    <sheet name="業務書類量調査" sheetId="6" r:id="rId4"/>
    <sheet name="導入後効果予測" sheetId="51" r:id="rId5"/>
    <sheet name="目標電子化率" sheetId="52" r:id="rId6"/>
    <sheet name="●計算表" sheetId="53" r:id="rId7"/>
    <sheet name="●削減効果" sheetId="67" r:id="rId8"/>
    <sheet name="投資情報" sheetId="62" r:id="rId9"/>
    <sheet name="●ｼﾐｭﾚｰｼｮﾝ結果" sheetId="60" r:id="rId10"/>
    <sheet name="&lt;参考&gt;●調査結果早見表" sheetId="63" r:id="rId11"/>
    <sheet name="&lt;参考&gt;●現在の業務の総コスト" sheetId="57" r:id="rId12"/>
    <sheet name="&lt;参考&gt;●総コスト算出WS" sheetId="59" r:id="rId13"/>
    <sheet name="Sheet1" sheetId="68" r:id="rId14"/>
  </sheets>
  <definedNames>
    <definedName name="_xlnm._FilterDatabase" localSheetId="5" hidden="1">目標電子化率!$AL$46:$AL$47</definedName>
    <definedName name="BusinessCycle">●ｼﾐｭﾚｰｼｮﾝ結果!$G$6:$Q$6</definedName>
    <definedName name="DInvestCalcRate">'&lt;参考&gt;●総コスト算出WS'!$E$8:$O$8</definedName>
    <definedName name="DpercentRate">●ｼﾐｭﾚｰｼｮﾝ結果!$G$8:$Q$8</definedName>
    <definedName name="KInvestCalcRate">'&lt;参考&gt;●総コスト算出WS'!$E$7:$O$7</definedName>
    <definedName name="KpercentRate">●ｼﾐｭﾚｰｼｮﾝ結果!$G$7:$Q$7</definedName>
    <definedName name="_xlnm.Print_Area" localSheetId="11">'&lt;参考&gt;●現在の業務の総コスト'!$B$1:$AV$39</definedName>
    <definedName name="_xlnm.Print_Area" localSheetId="10">'&lt;参考&gt;●調査結果早見表'!$A$1:$AC$76</definedName>
    <definedName name="_xlnm.Print_Area" localSheetId="9">●ｼﾐｭﾚｰｼｮﾝ結果!$B$14:$S$441</definedName>
    <definedName name="_xlnm.Print_Area" localSheetId="6">●計算表!$B$1:$Q$391</definedName>
    <definedName name="_xlnm.Print_Area" localSheetId="7">●削減効果!$B$2:$AV$153</definedName>
    <definedName name="_xlnm.Print_Area" localSheetId="0">シート説明!$A$1:$Y$55</definedName>
    <definedName name="_xlnm.Print_Area" localSheetId="3">業務書類量調査!$A$1:$AJ$33</definedName>
    <definedName name="_xlnm.Print_Area" localSheetId="2">現業務調査!$B$1:$AJ$175</definedName>
    <definedName name="_xlnm.Print_Area" localSheetId="8">投資情報!$B$1:$AT$130</definedName>
    <definedName name="_xlnm.Print_Area" localSheetId="4">導入後効果予測!$B$1:$AJ$50</definedName>
    <definedName name="_xlnm.Print_Area" localSheetId="5">目標電子化率!$B$1:$AJ$74</definedName>
    <definedName name="_xlnm.Print_Titles" localSheetId="6">●計算表!$1:$6</definedName>
    <definedName name="_xlnm.Print_Titles" localSheetId="2">現業務調査!$1:$3</definedName>
  </definedNames>
  <calcPr calcId="145621" fullCalcOnLoad="1"/>
</workbook>
</file>

<file path=xl/calcChain.xml><?xml version="1.0" encoding="utf-8"?>
<calcChain xmlns="http://schemas.openxmlformats.org/spreadsheetml/2006/main">
  <c r="H212" i="60" l="1"/>
  <c r="U25" i="6"/>
  <c r="U26" i="6"/>
  <c r="G141" i="60"/>
  <c r="W53" i="62"/>
  <c r="H129" i="60"/>
  <c r="N67" i="62"/>
  <c r="W49" i="62"/>
  <c r="W47" i="62"/>
  <c r="U23" i="6"/>
  <c r="S70" i="9"/>
  <c r="D151" i="53"/>
  <c r="AH146" i="67"/>
  <c r="AH144" i="67"/>
  <c r="AY6" i="67"/>
  <c r="E9" i="59"/>
  <c r="AC30" i="59"/>
  <c r="F9" i="59"/>
  <c r="E47" i="59"/>
  <c r="E132" i="59"/>
  <c r="G9" i="59"/>
  <c r="AI30" i="59"/>
  <c r="H9" i="59"/>
  <c r="AL30" i="59"/>
  <c r="I9" i="59"/>
  <c r="AO30" i="59"/>
  <c r="J9" i="59"/>
  <c r="AR30" i="59"/>
  <c r="K9" i="59"/>
  <c r="J47" i="59"/>
  <c r="L9" i="59"/>
  <c r="AX30" i="59"/>
  <c r="M9" i="59"/>
  <c r="L47" i="59"/>
  <c r="N9" i="59"/>
  <c r="BD30" i="59"/>
  <c r="O9" i="59"/>
  <c r="BG30" i="59"/>
  <c r="E10" i="59"/>
  <c r="AC31" i="59"/>
  <c r="F10" i="59"/>
  <c r="F29" i="59"/>
  <c r="G10" i="59"/>
  <c r="G30" i="59"/>
  <c r="H10" i="59"/>
  <c r="H29" i="59"/>
  <c r="I10" i="59"/>
  <c r="I33" i="59"/>
  <c r="J10" i="59"/>
  <c r="AR31" i="59"/>
  <c r="K10" i="59"/>
  <c r="AU31" i="59"/>
  <c r="L10" i="59"/>
  <c r="L33" i="59"/>
  <c r="M10" i="59"/>
  <c r="M33" i="59"/>
  <c r="N10" i="59"/>
  <c r="N34" i="59"/>
  <c r="O10" i="59"/>
  <c r="BG31" i="59"/>
  <c r="AC13" i="59"/>
  <c r="AD13" i="59"/>
  <c r="AE13" i="59"/>
  <c r="AC14" i="59"/>
  <c r="AD14" i="59"/>
  <c r="AE14" i="59"/>
  <c r="AD15" i="59"/>
  <c r="E28" i="59"/>
  <c r="F28" i="59"/>
  <c r="G28" i="59"/>
  <c r="H28" i="59"/>
  <c r="I28" i="59"/>
  <c r="J28" i="59"/>
  <c r="K28" i="59"/>
  <c r="L28" i="59"/>
  <c r="M28" i="59"/>
  <c r="N28" i="59"/>
  <c r="O28" i="59"/>
  <c r="AD30" i="59"/>
  <c r="AE30" i="59"/>
  <c r="AG30" i="59"/>
  <c r="AH30" i="59"/>
  <c r="AJ30" i="59"/>
  <c r="AK30" i="59"/>
  <c r="AM30" i="59"/>
  <c r="AN30" i="59"/>
  <c r="AP30" i="59"/>
  <c r="AQ30" i="59"/>
  <c r="AS30" i="59"/>
  <c r="AT30" i="59"/>
  <c r="AV30" i="59"/>
  <c r="AW30" i="59"/>
  <c r="AY30" i="59"/>
  <c r="AZ30" i="59"/>
  <c r="BB30" i="59"/>
  <c r="BC30" i="59"/>
  <c r="BE30" i="59"/>
  <c r="BF30" i="59"/>
  <c r="BH30" i="59"/>
  <c r="BI30" i="59"/>
  <c r="AD31" i="59"/>
  <c r="AE31" i="59"/>
  <c r="AG31" i="59"/>
  <c r="AH31" i="59"/>
  <c r="AJ31" i="59"/>
  <c r="AK31" i="59"/>
  <c r="AM31" i="59"/>
  <c r="AN31" i="59"/>
  <c r="AP31" i="59"/>
  <c r="AQ31" i="59"/>
  <c r="AS31" i="59"/>
  <c r="AT31" i="59"/>
  <c r="AV31" i="59"/>
  <c r="AW31" i="59"/>
  <c r="AY31" i="59"/>
  <c r="AZ31" i="59"/>
  <c r="BB31" i="59"/>
  <c r="BC31" i="59"/>
  <c r="BE31" i="59"/>
  <c r="BF31" i="59"/>
  <c r="BH31" i="59"/>
  <c r="BI31" i="59"/>
  <c r="E32" i="59"/>
  <c r="F32" i="59"/>
  <c r="G32" i="59"/>
  <c r="H32" i="59"/>
  <c r="I32" i="59"/>
  <c r="J32" i="59"/>
  <c r="K32" i="59"/>
  <c r="L32" i="59"/>
  <c r="M32" i="59"/>
  <c r="N32" i="59"/>
  <c r="O32" i="59"/>
  <c r="AB33" i="59"/>
  <c r="AB35" i="59"/>
  <c r="AB37" i="59"/>
  <c r="AB39" i="59"/>
  <c r="AC40" i="59"/>
  <c r="AF40" i="59"/>
  <c r="AI40" i="59"/>
  <c r="AL40" i="59"/>
  <c r="AO40" i="59"/>
  <c r="AR40" i="59"/>
  <c r="AU40" i="59"/>
  <c r="AX40" i="59"/>
  <c r="BA40" i="59"/>
  <c r="BD40" i="59"/>
  <c r="BG40" i="59"/>
  <c r="AB41" i="59"/>
  <c r="AC42" i="59"/>
  <c r="AF42" i="59"/>
  <c r="AI42" i="59"/>
  <c r="AL42" i="59"/>
  <c r="AO42" i="59"/>
  <c r="AR42" i="59"/>
  <c r="AU42" i="59"/>
  <c r="AX42" i="59"/>
  <c r="BA42" i="59"/>
  <c r="BD42" i="59"/>
  <c r="BG42" i="59"/>
  <c r="AB43" i="59"/>
  <c r="O47" i="59"/>
  <c r="O48" i="59"/>
  <c r="E51" i="59"/>
  <c r="F51" i="59"/>
  <c r="G51" i="59"/>
  <c r="H51" i="59"/>
  <c r="I51" i="59"/>
  <c r="J51" i="59"/>
  <c r="K51" i="59"/>
  <c r="L51" i="59"/>
  <c r="M51" i="59"/>
  <c r="N51" i="59"/>
  <c r="O51" i="59"/>
  <c r="E52" i="59"/>
  <c r="F52" i="59"/>
  <c r="G52" i="59"/>
  <c r="H52" i="59"/>
  <c r="I52" i="59"/>
  <c r="J52" i="59"/>
  <c r="K52" i="59"/>
  <c r="L52" i="59"/>
  <c r="M52" i="59"/>
  <c r="N52" i="59"/>
  <c r="O52" i="59"/>
  <c r="E53" i="59"/>
  <c r="F53" i="59"/>
  <c r="G53" i="59"/>
  <c r="H53" i="59"/>
  <c r="I53" i="59"/>
  <c r="J53" i="59"/>
  <c r="K53" i="59"/>
  <c r="L53" i="59"/>
  <c r="M53" i="59"/>
  <c r="N53" i="59"/>
  <c r="O53" i="59"/>
  <c r="AC53" i="59"/>
  <c r="AD53" i="59"/>
  <c r="AE53" i="59"/>
  <c r="AF53" i="59"/>
  <c r="AG53" i="59"/>
  <c r="AH53" i="59"/>
  <c r="E54" i="59"/>
  <c r="F54" i="59"/>
  <c r="G54" i="59"/>
  <c r="H54" i="59"/>
  <c r="I54" i="59"/>
  <c r="J54" i="59"/>
  <c r="K54" i="59"/>
  <c r="L54" i="59"/>
  <c r="M54" i="59"/>
  <c r="N54" i="59"/>
  <c r="O54" i="59"/>
  <c r="E55" i="59"/>
  <c r="F55" i="59"/>
  <c r="G55" i="59"/>
  <c r="H55" i="59"/>
  <c r="I55" i="59"/>
  <c r="J55" i="59"/>
  <c r="K55" i="59"/>
  <c r="L55" i="59"/>
  <c r="M55" i="59"/>
  <c r="N55" i="59"/>
  <c r="O55" i="59"/>
  <c r="AG55" i="59"/>
  <c r="AH55" i="59"/>
  <c r="E56" i="59"/>
  <c r="F56" i="59"/>
  <c r="G56" i="59"/>
  <c r="H56" i="59"/>
  <c r="I56" i="59"/>
  <c r="J56" i="59"/>
  <c r="K56" i="59"/>
  <c r="L56" i="59"/>
  <c r="M56" i="59"/>
  <c r="N56" i="59"/>
  <c r="O56" i="59"/>
  <c r="E57" i="59"/>
  <c r="F57" i="59"/>
  <c r="G57" i="59"/>
  <c r="H57" i="59"/>
  <c r="I57" i="59"/>
  <c r="J57" i="59"/>
  <c r="K57" i="59"/>
  <c r="L57" i="59"/>
  <c r="M57" i="59"/>
  <c r="N57" i="59"/>
  <c r="O57" i="59"/>
  <c r="E58" i="59"/>
  <c r="F58" i="59"/>
  <c r="G58" i="59"/>
  <c r="H58" i="59"/>
  <c r="I58" i="59"/>
  <c r="J58" i="59"/>
  <c r="K58" i="59"/>
  <c r="L58" i="59"/>
  <c r="M58" i="59"/>
  <c r="N58" i="59"/>
  <c r="O58" i="59"/>
  <c r="E59" i="59"/>
  <c r="F59" i="59"/>
  <c r="G59" i="59"/>
  <c r="H59" i="59"/>
  <c r="I59" i="59"/>
  <c r="J59" i="59"/>
  <c r="K59" i="59"/>
  <c r="L59" i="59"/>
  <c r="M59" i="59"/>
  <c r="N59" i="59"/>
  <c r="O59" i="59"/>
  <c r="E60" i="59"/>
  <c r="F60" i="59"/>
  <c r="G60" i="59"/>
  <c r="H60" i="59"/>
  <c r="I60" i="59"/>
  <c r="J60" i="59"/>
  <c r="K60" i="59"/>
  <c r="L60" i="59"/>
  <c r="M60" i="59"/>
  <c r="N60" i="59"/>
  <c r="O60" i="59"/>
  <c r="E61" i="59"/>
  <c r="F61" i="59"/>
  <c r="G61" i="59"/>
  <c r="H61" i="59"/>
  <c r="I61" i="59"/>
  <c r="J61" i="59"/>
  <c r="K61" i="59"/>
  <c r="L61" i="59"/>
  <c r="M61" i="59"/>
  <c r="N61" i="59"/>
  <c r="O61" i="59"/>
  <c r="E62" i="59"/>
  <c r="F62" i="59"/>
  <c r="G62" i="59"/>
  <c r="H62" i="59"/>
  <c r="I62" i="59"/>
  <c r="J62" i="59"/>
  <c r="K62" i="59"/>
  <c r="L62" i="59"/>
  <c r="M62" i="59"/>
  <c r="N62" i="59"/>
  <c r="O62" i="59"/>
  <c r="O63" i="59"/>
  <c r="E64" i="59"/>
  <c r="F64" i="59"/>
  <c r="G64" i="59"/>
  <c r="H64" i="59"/>
  <c r="I64" i="59"/>
  <c r="J64" i="59"/>
  <c r="K64" i="59"/>
  <c r="L64" i="59"/>
  <c r="M64" i="59"/>
  <c r="N64" i="59"/>
  <c r="O64" i="59"/>
  <c r="E65" i="59"/>
  <c r="F65" i="59"/>
  <c r="G65" i="59"/>
  <c r="H65" i="59"/>
  <c r="I65" i="59"/>
  <c r="J65" i="59"/>
  <c r="K65" i="59"/>
  <c r="L65" i="59"/>
  <c r="M65" i="59"/>
  <c r="N65" i="59"/>
  <c r="O65" i="59"/>
  <c r="E66" i="59"/>
  <c r="F66" i="59"/>
  <c r="G66" i="59"/>
  <c r="H66" i="59"/>
  <c r="I66" i="59"/>
  <c r="J66" i="59"/>
  <c r="K66" i="59"/>
  <c r="L66" i="59"/>
  <c r="M66" i="59"/>
  <c r="N66" i="59"/>
  <c r="O66" i="59"/>
  <c r="E67" i="59"/>
  <c r="F67" i="59"/>
  <c r="G67" i="59"/>
  <c r="H67" i="59"/>
  <c r="I67" i="59"/>
  <c r="J67" i="59"/>
  <c r="K67" i="59"/>
  <c r="L67" i="59"/>
  <c r="M67" i="59"/>
  <c r="N67" i="59"/>
  <c r="O67" i="59"/>
  <c r="E68" i="59"/>
  <c r="F68" i="59"/>
  <c r="G68" i="59"/>
  <c r="H68" i="59"/>
  <c r="I68" i="59"/>
  <c r="J68" i="59"/>
  <c r="K68" i="59"/>
  <c r="L68" i="59"/>
  <c r="M68" i="59"/>
  <c r="N68" i="59"/>
  <c r="O68" i="59"/>
  <c r="E69" i="59"/>
  <c r="F69" i="59"/>
  <c r="G69" i="59"/>
  <c r="H69" i="59"/>
  <c r="I69" i="59"/>
  <c r="J69" i="59"/>
  <c r="K69" i="59"/>
  <c r="L69" i="59"/>
  <c r="M69" i="59"/>
  <c r="N69" i="59"/>
  <c r="O69" i="59"/>
  <c r="E70" i="59"/>
  <c r="F70" i="59"/>
  <c r="G70" i="59"/>
  <c r="H70" i="59"/>
  <c r="I70" i="59"/>
  <c r="J70" i="59"/>
  <c r="K70" i="59"/>
  <c r="L70" i="59"/>
  <c r="M70" i="59"/>
  <c r="N70" i="59"/>
  <c r="O70" i="59"/>
  <c r="E71" i="59"/>
  <c r="F71" i="59"/>
  <c r="G71" i="59"/>
  <c r="H71" i="59"/>
  <c r="I71" i="59"/>
  <c r="J71" i="59"/>
  <c r="K71" i="59"/>
  <c r="L71" i="59"/>
  <c r="M71" i="59"/>
  <c r="N71" i="59"/>
  <c r="O71" i="59"/>
  <c r="E72" i="59"/>
  <c r="F72" i="59"/>
  <c r="G72" i="59"/>
  <c r="H72" i="59"/>
  <c r="I72" i="59"/>
  <c r="J72" i="59"/>
  <c r="K72" i="59"/>
  <c r="L72" i="59"/>
  <c r="M72" i="59"/>
  <c r="N72" i="59"/>
  <c r="O72" i="59"/>
  <c r="E73" i="59"/>
  <c r="F73" i="59"/>
  <c r="G73" i="59"/>
  <c r="H73" i="59"/>
  <c r="I73" i="59"/>
  <c r="J73" i="59"/>
  <c r="K73" i="59"/>
  <c r="L73" i="59"/>
  <c r="M73" i="59"/>
  <c r="N73" i="59"/>
  <c r="O73" i="59"/>
  <c r="O74" i="59"/>
  <c r="AC78" i="59"/>
  <c r="AD78" i="59"/>
  <c r="AE78" i="59"/>
  <c r="AF78" i="59"/>
  <c r="AG78" i="59"/>
  <c r="AH78" i="59"/>
  <c r="AD79" i="59"/>
  <c r="AF79" i="59"/>
  <c r="AG79" i="59"/>
  <c r="E80" i="59"/>
  <c r="F80" i="59"/>
  <c r="G80" i="59"/>
  <c r="H80" i="59"/>
  <c r="I80" i="59"/>
  <c r="J80" i="59"/>
  <c r="K80" i="59"/>
  <c r="L80" i="59"/>
  <c r="M80" i="59"/>
  <c r="N80" i="59"/>
  <c r="O80" i="59"/>
  <c r="E81" i="59"/>
  <c r="F81" i="59"/>
  <c r="G81" i="59"/>
  <c r="H81" i="59"/>
  <c r="I81" i="59"/>
  <c r="J81" i="59"/>
  <c r="K81" i="59"/>
  <c r="L81" i="59"/>
  <c r="M81" i="59"/>
  <c r="N81" i="59"/>
  <c r="O81" i="59"/>
  <c r="E82" i="59"/>
  <c r="F82" i="59"/>
  <c r="G82" i="59"/>
  <c r="H82" i="59"/>
  <c r="I82" i="59"/>
  <c r="J82" i="59"/>
  <c r="K82" i="59"/>
  <c r="L82" i="59"/>
  <c r="M82" i="59"/>
  <c r="N82" i="59"/>
  <c r="O82" i="59"/>
  <c r="E83" i="59"/>
  <c r="F83" i="59"/>
  <c r="G83" i="59"/>
  <c r="H83" i="59"/>
  <c r="I83" i="59"/>
  <c r="J83" i="59"/>
  <c r="K83" i="59"/>
  <c r="L83" i="59"/>
  <c r="M83" i="59"/>
  <c r="N83" i="59"/>
  <c r="O83" i="59"/>
  <c r="E84" i="59"/>
  <c r="F84" i="59"/>
  <c r="G84" i="59"/>
  <c r="H84" i="59"/>
  <c r="I84" i="59"/>
  <c r="J84" i="59"/>
  <c r="K84" i="59"/>
  <c r="L84" i="59"/>
  <c r="M84" i="59"/>
  <c r="N84" i="59"/>
  <c r="O84" i="59"/>
  <c r="E85" i="59"/>
  <c r="F85" i="59"/>
  <c r="G85" i="59"/>
  <c r="H85" i="59"/>
  <c r="I85" i="59"/>
  <c r="J85" i="59"/>
  <c r="K85" i="59"/>
  <c r="L85" i="59"/>
  <c r="M85" i="59"/>
  <c r="N85" i="59"/>
  <c r="O85" i="59"/>
  <c r="E86" i="59"/>
  <c r="F86" i="59"/>
  <c r="G86" i="59"/>
  <c r="H86" i="59"/>
  <c r="I86" i="59"/>
  <c r="J86" i="59"/>
  <c r="K86" i="59"/>
  <c r="L86" i="59"/>
  <c r="M86" i="59"/>
  <c r="N86" i="59"/>
  <c r="O86" i="59"/>
  <c r="E87" i="59"/>
  <c r="F87" i="59"/>
  <c r="G87" i="59"/>
  <c r="H87" i="59"/>
  <c r="I87" i="59"/>
  <c r="J87" i="59"/>
  <c r="K87" i="59"/>
  <c r="L87" i="59"/>
  <c r="M87" i="59"/>
  <c r="N87" i="59"/>
  <c r="O87" i="59"/>
  <c r="E88" i="59"/>
  <c r="F88" i="59"/>
  <c r="G88" i="59"/>
  <c r="H88" i="59"/>
  <c r="I88" i="59"/>
  <c r="J88" i="59"/>
  <c r="K88" i="59"/>
  <c r="L88" i="59"/>
  <c r="M88" i="59"/>
  <c r="N88" i="59"/>
  <c r="O88" i="59"/>
  <c r="E89" i="59"/>
  <c r="F89" i="59"/>
  <c r="G89" i="59"/>
  <c r="H89" i="59"/>
  <c r="I89" i="59"/>
  <c r="J89" i="59"/>
  <c r="K89" i="59"/>
  <c r="L89" i="59"/>
  <c r="M89" i="59"/>
  <c r="N89" i="59"/>
  <c r="O89" i="59"/>
  <c r="E90" i="59"/>
  <c r="F90" i="59"/>
  <c r="G90" i="59"/>
  <c r="H90" i="59"/>
  <c r="I90" i="59"/>
  <c r="J90" i="59"/>
  <c r="K90" i="59"/>
  <c r="L90" i="59"/>
  <c r="M90" i="59"/>
  <c r="N90" i="59"/>
  <c r="O90" i="59"/>
  <c r="E91" i="59"/>
  <c r="F91" i="59"/>
  <c r="G91" i="59"/>
  <c r="H91" i="59"/>
  <c r="I91" i="59"/>
  <c r="J91" i="59"/>
  <c r="K91" i="59"/>
  <c r="L91" i="59"/>
  <c r="M91" i="59"/>
  <c r="N91" i="59"/>
  <c r="O91" i="59"/>
  <c r="E93" i="59"/>
  <c r="F93" i="59"/>
  <c r="G93" i="59"/>
  <c r="H93" i="59"/>
  <c r="I93" i="59"/>
  <c r="J93" i="59"/>
  <c r="K93" i="59"/>
  <c r="L93" i="59"/>
  <c r="M93" i="59"/>
  <c r="N93" i="59"/>
  <c r="O93" i="59"/>
  <c r="E94" i="59"/>
  <c r="F94" i="59"/>
  <c r="G94" i="59"/>
  <c r="H94" i="59"/>
  <c r="I94" i="59"/>
  <c r="J94" i="59"/>
  <c r="K94" i="59"/>
  <c r="L94" i="59"/>
  <c r="M94" i="59"/>
  <c r="N94" i="59"/>
  <c r="O94" i="59"/>
  <c r="E95" i="59"/>
  <c r="F95" i="59"/>
  <c r="G95" i="59"/>
  <c r="H95" i="59"/>
  <c r="I95" i="59"/>
  <c r="J95" i="59"/>
  <c r="K95" i="59"/>
  <c r="L95" i="59"/>
  <c r="M95" i="59"/>
  <c r="N95" i="59"/>
  <c r="O95" i="59"/>
  <c r="E96" i="59"/>
  <c r="F96" i="59"/>
  <c r="G96" i="59"/>
  <c r="H96" i="59"/>
  <c r="I96" i="59"/>
  <c r="J96" i="59"/>
  <c r="K96" i="59"/>
  <c r="L96" i="59"/>
  <c r="M96" i="59"/>
  <c r="N96" i="59"/>
  <c r="O96" i="59"/>
  <c r="E97" i="59"/>
  <c r="G225" i="60"/>
  <c r="G217" i="60"/>
  <c r="F97" i="59"/>
  <c r="G97" i="59"/>
  <c r="H97" i="59"/>
  <c r="J225" i="60"/>
  <c r="J217" i="60"/>
  <c r="I97" i="59"/>
  <c r="K225" i="60"/>
  <c r="K217" i="60"/>
  <c r="J97" i="59"/>
  <c r="K97" i="59"/>
  <c r="L97" i="59"/>
  <c r="N225" i="60"/>
  <c r="N217" i="60"/>
  <c r="M97" i="59"/>
  <c r="O225" i="60"/>
  <c r="O217" i="60"/>
  <c r="N97" i="59"/>
  <c r="O97" i="59"/>
  <c r="E98" i="59"/>
  <c r="F98" i="59"/>
  <c r="G98" i="59"/>
  <c r="H98" i="59"/>
  <c r="I98" i="59"/>
  <c r="J98" i="59"/>
  <c r="K98" i="59"/>
  <c r="L98" i="59"/>
  <c r="M98" i="59"/>
  <c r="N98" i="59"/>
  <c r="O98" i="59"/>
  <c r="E99" i="59"/>
  <c r="F99" i="59"/>
  <c r="G99" i="59"/>
  <c r="H99" i="59"/>
  <c r="I99" i="59"/>
  <c r="J99" i="59"/>
  <c r="K99" i="59"/>
  <c r="L99" i="59"/>
  <c r="M99" i="59"/>
  <c r="N99" i="59"/>
  <c r="O99" i="59"/>
  <c r="E100" i="59"/>
  <c r="F100" i="59"/>
  <c r="G100" i="59"/>
  <c r="H100" i="59"/>
  <c r="I100" i="59"/>
  <c r="J100" i="59"/>
  <c r="K100" i="59"/>
  <c r="L100" i="59"/>
  <c r="M100" i="59"/>
  <c r="N100" i="59"/>
  <c r="O100" i="59"/>
  <c r="E101" i="59"/>
  <c r="F101" i="59"/>
  <c r="G101" i="59"/>
  <c r="H101" i="59"/>
  <c r="I101" i="59"/>
  <c r="J101" i="59"/>
  <c r="K101" i="59"/>
  <c r="L101" i="59"/>
  <c r="M101" i="59"/>
  <c r="N101" i="59"/>
  <c r="O101" i="59"/>
  <c r="E102" i="59"/>
  <c r="F102" i="59"/>
  <c r="G102" i="59"/>
  <c r="H102" i="59"/>
  <c r="I102" i="59"/>
  <c r="J102" i="59"/>
  <c r="K102" i="59"/>
  <c r="L102" i="59"/>
  <c r="M102" i="59"/>
  <c r="N102" i="59"/>
  <c r="O102" i="59"/>
  <c r="O103" i="59"/>
  <c r="E109" i="59"/>
  <c r="F109" i="59"/>
  <c r="G109" i="59"/>
  <c r="H109" i="59"/>
  <c r="I109" i="59"/>
  <c r="J109" i="59"/>
  <c r="K109" i="59"/>
  <c r="L109" i="59"/>
  <c r="M109" i="59"/>
  <c r="N109" i="59"/>
  <c r="O109" i="59"/>
  <c r="E110" i="59"/>
  <c r="F110" i="59"/>
  <c r="G110" i="59"/>
  <c r="H110" i="59"/>
  <c r="I110" i="59"/>
  <c r="J110" i="59"/>
  <c r="K110" i="59"/>
  <c r="L110" i="59"/>
  <c r="M110" i="59"/>
  <c r="N110" i="59"/>
  <c r="O110" i="59"/>
  <c r="E111" i="59"/>
  <c r="F111" i="59"/>
  <c r="G111" i="59"/>
  <c r="H111" i="59"/>
  <c r="I111" i="59"/>
  <c r="J111" i="59"/>
  <c r="K111" i="59"/>
  <c r="L111" i="59"/>
  <c r="M111" i="59"/>
  <c r="N111" i="59"/>
  <c r="O111" i="59"/>
  <c r="E112" i="59"/>
  <c r="F112" i="59"/>
  <c r="G112" i="59"/>
  <c r="H112" i="59"/>
  <c r="I112" i="59"/>
  <c r="J112" i="59"/>
  <c r="K112" i="59"/>
  <c r="L112" i="59"/>
  <c r="M112" i="59"/>
  <c r="N112" i="59"/>
  <c r="O112" i="59"/>
  <c r="E113" i="59"/>
  <c r="F113" i="59"/>
  <c r="G113" i="59"/>
  <c r="H113" i="59"/>
  <c r="I113" i="59"/>
  <c r="J113" i="59"/>
  <c r="K113" i="59"/>
  <c r="L113" i="59"/>
  <c r="M113" i="59"/>
  <c r="N113" i="59"/>
  <c r="O113" i="59"/>
  <c r="E114" i="59"/>
  <c r="F114" i="59"/>
  <c r="G114" i="59"/>
  <c r="H114" i="59"/>
  <c r="I114" i="59"/>
  <c r="J114" i="59"/>
  <c r="K114" i="59"/>
  <c r="L114" i="59"/>
  <c r="M114" i="59"/>
  <c r="N114" i="59"/>
  <c r="O114" i="59"/>
  <c r="E115" i="59"/>
  <c r="F115" i="59"/>
  <c r="G115" i="59"/>
  <c r="H115" i="59"/>
  <c r="I115" i="59"/>
  <c r="J115" i="59"/>
  <c r="K115" i="59"/>
  <c r="L115" i="59"/>
  <c r="M115" i="59"/>
  <c r="N115" i="59"/>
  <c r="O115" i="59"/>
  <c r="E116" i="59"/>
  <c r="F116" i="59"/>
  <c r="G116" i="59"/>
  <c r="H116" i="59"/>
  <c r="I116" i="59"/>
  <c r="J116" i="59"/>
  <c r="K116" i="59"/>
  <c r="L116" i="59"/>
  <c r="M116" i="59"/>
  <c r="N116" i="59"/>
  <c r="O116" i="59"/>
  <c r="E117" i="59"/>
  <c r="F117" i="59"/>
  <c r="G117" i="59"/>
  <c r="H117" i="59"/>
  <c r="I117" i="59"/>
  <c r="J117" i="59"/>
  <c r="K117" i="59"/>
  <c r="L117" i="59"/>
  <c r="M117" i="59"/>
  <c r="N117" i="59"/>
  <c r="O117" i="59"/>
  <c r="E118" i="59"/>
  <c r="F118" i="59"/>
  <c r="G118" i="59"/>
  <c r="H118" i="59"/>
  <c r="I118" i="59"/>
  <c r="J118" i="59"/>
  <c r="K118" i="59"/>
  <c r="L118" i="59"/>
  <c r="M118" i="59"/>
  <c r="N118" i="59"/>
  <c r="O118" i="59"/>
  <c r="E119" i="59"/>
  <c r="F119" i="59"/>
  <c r="G119" i="59"/>
  <c r="H119" i="59"/>
  <c r="I119" i="59"/>
  <c r="J119" i="59"/>
  <c r="K119" i="59"/>
  <c r="L119" i="59"/>
  <c r="M119" i="59"/>
  <c r="N119" i="59"/>
  <c r="O119" i="59"/>
  <c r="E120" i="59"/>
  <c r="F120" i="59"/>
  <c r="G120" i="59"/>
  <c r="H120" i="59"/>
  <c r="I120" i="59"/>
  <c r="J120" i="59"/>
  <c r="K120" i="59"/>
  <c r="L120" i="59"/>
  <c r="M120" i="59"/>
  <c r="N120" i="59"/>
  <c r="O120" i="59"/>
  <c r="O121" i="59"/>
  <c r="E122" i="59"/>
  <c r="F122" i="59"/>
  <c r="G122" i="59"/>
  <c r="H122" i="59"/>
  <c r="I122" i="59"/>
  <c r="J122" i="59"/>
  <c r="K122" i="59"/>
  <c r="L122" i="59"/>
  <c r="M122" i="59"/>
  <c r="N122" i="59"/>
  <c r="O122" i="59"/>
  <c r="E123" i="59"/>
  <c r="F123" i="59"/>
  <c r="G123" i="59"/>
  <c r="H123" i="59"/>
  <c r="I123" i="59"/>
  <c r="J123" i="59"/>
  <c r="K123" i="59"/>
  <c r="L123" i="59"/>
  <c r="M123" i="59"/>
  <c r="N123" i="59"/>
  <c r="O123" i="59"/>
  <c r="E124" i="59"/>
  <c r="F124" i="59"/>
  <c r="G124" i="59"/>
  <c r="H124" i="59"/>
  <c r="I124" i="59"/>
  <c r="J124" i="59"/>
  <c r="K124" i="59"/>
  <c r="L124" i="59"/>
  <c r="M124" i="59"/>
  <c r="N124" i="59"/>
  <c r="O124" i="59"/>
  <c r="E125" i="59"/>
  <c r="F125" i="59"/>
  <c r="G125" i="59"/>
  <c r="H125" i="59"/>
  <c r="I125" i="59"/>
  <c r="J125" i="59"/>
  <c r="K125" i="59"/>
  <c r="L125" i="59"/>
  <c r="M125" i="59"/>
  <c r="N125" i="59"/>
  <c r="O125" i="59"/>
  <c r="E126" i="59"/>
  <c r="F126" i="59"/>
  <c r="G126" i="59"/>
  <c r="H126" i="59"/>
  <c r="I126" i="59"/>
  <c r="J126" i="59"/>
  <c r="K126" i="59"/>
  <c r="L126" i="59"/>
  <c r="M126" i="59"/>
  <c r="N126" i="59"/>
  <c r="O126" i="59"/>
  <c r="E127" i="59"/>
  <c r="F127" i="59"/>
  <c r="G127" i="59"/>
  <c r="H127" i="59"/>
  <c r="I127" i="59"/>
  <c r="J127" i="59"/>
  <c r="K127" i="59"/>
  <c r="L127" i="59"/>
  <c r="M127" i="59"/>
  <c r="N127" i="59"/>
  <c r="O127" i="59"/>
  <c r="E128" i="59"/>
  <c r="F128" i="59"/>
  <c r="G128" i="59"/>
  <c r="H128" i="59"/>
  <c r="I128" i="59"/>
  <c r="J128" i="59"/>
  <c r="K128" i="59"/>
  <c r="L128" i="59"/>
  <c r="M128" i="59"/>
  <c r="N128" i="59"/>
  <c r="O128" i="59"/>
  <c r="E129" i="59"/>
  <c r="F129" i="59"/>
  <c r="G129" i="59"/>
  <c r="H129" i="59"/>
  <c r="I129" i="59"/>
  <c r="J129" i="59"/>
  <c r="K129" i="59"/>
  <c r="L129" i="59"/>
  <c r="M129" i="59"/>
  <c r="N129" i="59"/>
  <c r="O129" i="59"/>
  <c r="E130" i="59"/>
  <c r="F130" i="59"/>
  <c r="G130" i="59"/>
  <c r="H130" i="59"/>
  <c r="I130" i="59"/>
  <c r="J130" i="59"/>
  <c r="K130" i="59"/>
  <c r="L130" i="59"/>
  <c r="M130" i="59"/>
  <c r="N130" i="59"/>
  <c r="O130" i="59"/>
  <c r="E131" i="59"/>
  <c r="F131" i="59"/>
  <c r="G131" i="59"/>
  <c r="H131" i="59"/>
  <c r="I131" i="59"/>
  <c r="J131" i="59"/>
  <c r="K131" i="59"/>
  <c r="L131" i="59"/>
  <c r="M131" i="59"/>
  <c r="N131" i="59"/>
  <c r="O131" i="59"/>
  <c r="O132" i="59"/>
  <c r="E138" i="59"/>
  <c r="F138" i="59"/>
  <c r="G138" i="59"/>
  <c r="H138" i="59"/>
  <c r="I138" i="59"/>
  <c r="J138" i="59"/>
  <c r="K138" i="59"/>
  <c r="L138" i="59"/>
  <c r="M138" i="59"/>
  <c r="N138" i="59"/>
  <c r="O138" i="59"/>
  <c r="E139" i="59"/>
  <c r="F139" i="59"/>
  <c r="G139" i="59"/>
  <c r="H139" i="59"/>
  <c r="I139" i="59"/>
  <c r="J139" i="59"/>
  <c r="K139" i="59"/>
  <c r="L139" i="59"/>
  <c r="M139" i="59"/>
  <c r="N139" i="59"/>
  <c r="O139" i="59"/>
  <c r="E140" i="59"/>
  <c r="F140" i="59"/>
  <c r="G140" i="59"/>
  <c r="H140" i="59"/>
  <c r="I140" i="59"/>
  <c r="J140" i="59"/>
  <c r="K140" i="59"/>
  <c r="L140" i="59"/>
  <c r="M140" i="59"/>
  <c r="N140" i="59"/>
  <c r="O140" i="59"/>
  <c r="E141" i="59"/>
  <c r="F141" i="59"/>
  <c r="G141" i="59"/>
  <c r="H141" i="59"/>
  <c r="I141" i="59"/>
  <c r="J141" i="59"/>
  <c r="K141" i="59"/>
  <c r="L141" i="59"/>
  <c r="M141" i="59"/>
  <c r="N141" i="59"/>
  <c r="O141" i="59"/>
  <c r="E142" i="59"/>
  <c r="F142" i="59"/>
  <c r="G142" i="59"/>
  <c r="H142" i="59"/>
  <c r="I142" i="59"/>
  <c r="J142" i="59"/>
  <c r="K142" i="59"/>
  <c r="L142" i="59"/>
  <c r="M142" i="59"/>
  <c r="N142" i="59"/>
  <c r="O142" i="59"/>
  <c r="E143" i="59"/>
  <c r="F143" i="59"/>
  <c r="G143" i="59"/>
  <c r="H143" i="59"/>
  <c r="I143" i="59"/>
  <c r="J143" i="59"/>
  <c r="K143" i="59"/>
  <c r="L143" i="59"/>
  <c r="M143" i="59"/>
  <c r="N143" i="59"/>
  <c r="O143" i="59"/>
  <c r="E144" i="59"/>
  <c r="F144" i="59"/>
  <c r="G144" i="59"/>
  <c r="H144" i="59"/>
  <c r="I144" i="59"/>
  <c r="J144" i="59"/>
  <c r="K144" i="59"/>
  <c r="L144" i="59"/>
  <c r="M144" i="59"/>
  <c r="N144" i="59"/>
  <c r="O144" i="59"/>
  <c r="E145" i="59"/>
  <c r="F145" i="59"/>
  <c r="G145" i="59"/>
  <c r="H145" i="59"/>
  <c r="I145" i="59"/>
  <c r="J145" i="59"/>
  <c r="K145" i="59"/>
  <c r="L145" i="59"/>
  <c r="M145" i="59"/>
  <c r="N145" i="59"/>
  <c r="O145" i="59"/>
  <c r="E146" i="59"/>
  <c r="F146" i="59"/>
  <c r="G146" i="59"/>
  <c r="H146" i="59"/>
  <c r="I146" i="59"/>
  <c r="J146" i="59"/>
  <c r="K146" i="59"/>
  <c r="L146" i="59"/>
  <c r="M146" i="59"/>
  <c r="N146" i="59"/>
  <c r="O146" i="59"/>
  <c r="E147" i="59"/>
  <c r="F147" i="59"/>
  <c r="G147" i="59"/>
  <c r="H147" i="59"/>
  <c r="I147" i="59"/>
  <c r="J147" i="59"/>
  <c r="K147" i="59"/>
  <c r="L147" i="59"/>
  <c r="M147" i="59"/>
  <c r="N147" i="59"/>
  <c r="O147" i="59"/>
  <c r="E148" i="59"/>
  <c r="F148" i="59"/>
  <c r="G148" i="59"/>
  <c r="H148" i="59"/>
  <c r="I148" i="59"/>
  <c r="J148" i="59"/>
  <c r="K148" i="59"/>
  <c r="L148" i="59"/>
  <c r="M148" i="59"/>
  <c r="N148" i="59"/>
  <c r="O148" i="59"/>
  <c r="E149" i="59"/>
  <c r="F149" i="59"/>
  <c r="G149" i="59"/>
  <c r="H149" i="59"/>
  <c r="I149" i="59"/>
  <c r="J149" i="59"/>
  <c r="K149" i="59"/>
  <c r="L149" i="59"/>
  <c r="M149" i="59"/>
  <c r="N149" i="59"/>
  <c r="O149" i="59"/>
  <c r="O150" i="59"/>
  <c r="E151" i="59"/>
  <c r="F151" i="59"/>
  <c r="G151" i="59"/>
  <c r="H151" i="59"/>
  <c r="I151" i="59"/>
  <c r="J151" i="59"/>
  <c r="K151" i="59"/>
  <c r="L151" i="59"/>
  <c r="M151" i="59"/>
  <c r="N151" i="59"/>
  <c r="O151" i="59"/>
  <c r="E152" i="59"/>
  <c r="F152" i="59"/>
  <c r="G152" i="59"/>
  <c r="H152" i="59"/>
  <c r="I152" i="59"/>
  <c r="J152" i="59"/>
  <c r="K152" i="59"/>
  <c r="L152" i="59"/>
  <c r="M152" i="59"/>
  <c r="N152" i="59"/>
  <c r="O152" i="59"/>
  <c r="E153" i="59"/>
  <c r="F153" i="59"/>
  <c r="G153" i="59"/>
  <c r="H153" i="59"/>
  <c r="I153" i="59"/>
  <c r="J153" i="59"/>
  <c r="K153" i="59"/>
  <c r="L153" i="59"/>
  <c r="M153" i="59"/>
  <c r="N153" i="59"/>
  <c r="O153" i="59"/>
  <c r="E154" i="59"/>
  <c r="F154" i="59"/>
  <c r="G154" i="59"/>
  <c r="H154" i="59"/>
  <c r="I154" i="59"/>
  <c r="J154" i="59"/>
  <c r="K154" i="59"/>
  <c r="L154" i="59"/>
  <c r="M154" i="59"/>
  <c r="N154" i="59"/>
  <c r="O154" i="59"/>
  <c r="E155" i="59"/>
  <c r="F155" i="59"/>
  <c r="G155" i="59"/>
  <c r="H155" i="59"/>
  <c r="I155" i="59"/>
  <c r="J155" i="59"/>
  <c r="K155" i="59"/>
  <c r="L155" i="59"/>
  <c r="M155" i="59"/>
  <c r="N155" i="59"/>
  <c r="O155" i="59"/>
  <c r="E156" i="59"/>
  <c r="F156" i="59"/>
  <c r="G156" i="59"/>
  <c r="H156" i="59"/>
  <c r="I156" i="59"/>
  <c r="J156" i="59"/>
  <c r="K156" i="59"/>
  <c r="L156" i="59"/>
  <c r="M156" i="59"/>
  <c r="N156" i="59"/>
  <c r="O156" i="59"/>
  <c r="E157" i="59"/>
  <c r="F157" i="59"/>
  <c r="G157" i="59"/>
  <c r="H157" i="59"/>
  <c r="I157" i="59"/>
  <c r="J157" i="59"/>
  <c r="K157" i="59"/>
  <c r="L157" i="59"/>
  <c r="M157" i="59"/>
  <c r="N157" i="59"/>
  <c r="O157" i="59"/>
  <c r="E158" i="59"/>
  <c r="F158" i="59"/>
  <c r="G158" i="59"/>
  <c r="H158" i="59"/>
  <c r="I158" i="59"/>
  <c r="J158" i="59"/>
  <c r="K158" i="59"/>
  <c r="L158" i="59"/>
  <c r="M158" i="59"/>
  <c r="N158" i="59"/>
  <c r="O158" i="59"/>
  <c r="E159" i="59"/>
  <c r="F159" i="59"/>
  <c r="G159" i="59"/>
  <c r="H159" i="59"/>
  <c r="I159" i="59"/>
  <c r="J159" i="59"/>
  <c r="K159" i="59"/>
  <c r="L159" i="59"/>
  <c r="M159" i="59"/>
  <c r="N159" i="59"/>
  <c r="O159" i="59"/>
  <c r="E160" i="59"/>
  <c r="F160" i="59"/>
  <c r="G160" i="59"/>
  <c r="H160" i="59"/>
  <c r="I160" i="59"/>
  <c r="J160" i="59"/>
  <c r="K160" i="59"/>
  <c r="L160" i="59"/>
  <c r="M160" i="59"/>
  <c r="N160" i="59"/>
  <c r="O160" i="59"/>
  <c r="O161" i="59"/>
  <c r="G5" i="57"/>
  <c r="D198" i="60"/>
  <c r="O5" i="57"/>
  <c r="O6" i="57"/>
  <c r="Z6" i="57"/>
  <c r="G10" i="57"/>
  <c r="Z10" i="57"/>
  <c r="AD10" i="57"/>
  <c r="G11" i="57"/>
  <c r="Z11" i="57"/>
  <c r="AD11" i="57"/>
  <c r="AH11" i="57"/>
  <c r="AP11" i="57"/>
  <c r="G14" i="57"/>
  <c r="K14" i="57"/>
  <c r="O14" i="57"/>
  <c r="Z14" i="57"/>
  <c r="AD14" i="57"/>
  <c r="AH14" i="57"/>
  <c r="AL14" i="57"/>
  <c r="AP14" i="57"/>
  <c r="G15" i="57"/>
  <c r="K15" i="57"/>
  <c r="O15" i="57"/>
  <c r="Z15" i="57"/>
  <c r="AD15" i="57"/>
  <c r="AH15" i="57"/>
  <c r="AL15" i="57"/>
  <c r="AP15" i="57"/>
  <c r="G27" i="57"/>
  <c r="N27" i="57"/>
  <c r="T27" i="57"/>
  <c r="G28" i="57"/>
  <c r="G29" i="57"/>
  <c r="N29" i="57"/>
  <c r="T29" i="57"/>
  <c r="G30" i="57"/>
  <c r="N31" i="57"/>
  <c r="H37" i="57"/>
  <c r="I37" i="57"/>
  <c r="J37" i="57"/>
  <c r="K37" i="57"/>
  <c r="L37" i="57"/>
  <c r="M37" i="57"/>
  <c r="L6" i="63"/>
  <c r="W6" i="63"/>
  <c r="L7" i="63"/>
  <c r="L8" i="63"/>
  <c r="L9" i="63"/>
  <c r="L16" i="63"/>
  <c r="P16" i="63"/>
  <c r="L17" i="63"/>
  <c r="P17" i="63"/>
  <c r="L18" i="63"/>
  <c r="P18" i="63"/>
  <c r="L19" i="63"/>
  <c r="W19" i="63"/>
  <c r="L21" i="63"/>
  <c r="L22" i="63"/>
  <c r="L23" i="63"/>
  <c r="L24" i="63"/>
  <c r="L25" i="63"/>
  <c r="L26" i="63"/>
  <c r="L27" i="63"/>
  <c r="L28" i="63"/>
  <c r="W28" i="63"/>
  <c r="L31" i="63"/>
  <c r="L32" i="63"/>
  <c r="L35" i="63"/>
  <c r="P35" i="63"/>
  <c r="L36" i="63"/>
  <c r="P36" i="63"/>
  <c r="L37" i="63"/>
  <c r="P37" i="63"/>
  <c r="W38" i="63"/>
  <c r="L40" i="63"/>
  <c r="L41" i="63"/>
  <c r="L42" i="63"/>
  <c r="L44" i="63"/>
  <c r="L45" i="63"/>
  <c r="L47" i="63"/>
  <c r="P47" i="63"/>
  <c r="L48" i="63"/>
  <c r="P48" i="63"/>
  <c r="L49" i="63"/>
  <c r="P49" i="63"/>
  <c r="L50" i="63"/>
  <c r="P50" i="63"/>
  <c r="W51" i="63"/>
  <c r="L53" i="63"/>
  <c r="L55" i="63"/>
  <c r="M57" i="63"/>
  <c r="L59" i="63"/>
  <c r="P59" i="63"/>
  <c r="L60" i="63"/>
  <c r="P60" i="63"/>
  <c r="L61" i="63"/>
  <c r="W61" i="63"/>
  <c r="L62" i="63"/>
  <c r="W62" i="63"/>
  <c r="L65" i="63"/>
  <c r="L66" i="63"/>
  <c r="L68" i="63"/>
  <c r="P68" i="63"/>
  <c r="L69" i="63"/>
  <c r="P69" i="63"/>
  <c r="L70" i="63"/>
  <c r="W70" i="63"/>
  <c r="B74" i="63"/>
  <c r="O74" i="63"/>
  <c r="V74" i="63"/>
  <c r="B75" i="63"/>
  <c r="O75" i="63"/>
  <c r="V75" i="63"/>
  <c r="B76" i="63"/>
  <c r="O76" i="63"/>
  <c r="V76" i="63"/>
  <c r="H3" i="60"/>
  <c r="I3" i="60"/>
  <c r="J3" i="60"/>
  <c r="K3" i="60"/>
  <c r="L3" i="60"/>
  <c r="M3" i="60"/>
  <c r="N3" i="60"/>
  <c r="O3" i="60"/>
  <c r="P3" i="60"/>
  <c r="Q3" i="60"/>
  <c r="I111" i="60"/>
  <c r="I112" i="60"/>
  <c r="D115" i="60"/>
  <c r="N115" i="60"/>
  <c r="D116" i="60"/>
  <c r="G117" i="60"/>
  <c r="H117" i="60"/>
  <c r="H283" i="60"/>
  <c r="I117" i="60"/>
  <c r="G118" i="60"/>
  <c r="H118" i="60"/>
  <c r="I118" i="60"/>
  <c r="N118" i="60"/>
  <c r="G119" i="60"/>
  <c r="H119" i="60"/>
  <c r="H202" i="60"/>
  <c r="I119" i="60"/>
  <c r="N121" i="60"/>
  <c r="N122" i="60"/>
  <c r="N123" i="60"/>
  <c r="N124" i="60"/>
  <c r="G128" i="60"/>
  <c r="H128" i="60"/>
  <c r="I128" i="60"/>
  <c r="J128" i="60"/>
  <c r="K128" i="60"/>
  <c r="L128" i="60"/>
  <c r="M128" i="60"/>
  <c r="N128" i="60"/>
  <c r="O128" i="60"/>
  <c r="P128" i="60"/>
  <c r="Q128" i="60"/>
  <c r="G129" i="60"/>
  <c r="G145" i="60"/>
  <c r="I129" i="60"/>
  <c r="I145" i="60"/>
  <c r="J129" i="60"/>
  <c r="J145" i="60"/>
  <c r="K129" i="60"/>
  <c r="K145" i="60"/>
  <c r="L129" i="60"/>
  <c r="L145" i="60"/>
  <c r="M129" i="60"/>
  <c r="M145" i="60"/>
  <c r="N129" i="60"/>
  <c r="N145" i="60"/>
  <c r="O129" i="60"/>
  <c r="O145" i="60"/>
  <c r="P129" i="60"/>
  <c r="P145" i="60"/>
  <c r="Q129" i="60"/>
  <c r="Q145" i="60"/>
  <c r="G130" i="60"/>
  <c r="G146" i="60"/>
  <c r="H130" i="60"/>
  <c r="I130" i="60"/>
  <c r="J130" i="60"/>
  <c r="K130" i="60"/>
  <c r="L130" i="60"/>
  <c r="M130" i="60"/>
  <c r="N130" i="60"/>
  <c r="O130" i="60"/>
  <c r="P130" i="60"/>
  <c r="Q130" i="60"/>
  <c r="G133" i="60"/>
  <c r="H133" i="60"/>
  <c r="I133" i="60"/>
  <c r="J133" i="60"/>
  <c r="K133" i="60"/>
  <c r="L133" i="60"/>
  <c r="M133" i="60"/>
  <c r="N133" i="60"/>
  <c r="O133" i="60"/>
  <c r="P133" i="60"/>
  <c r="Q133" i="60"/>
  <c r="G134" i="60"/>
  <c r="H134" i="60"/>
  <c r="I134" i="60"/>
  <c r="J134" i="60"/>
  <c r="K134" i="60"/>
  <c r="L134" i="60"/>
  <c r="M134" i="60"/>
  <c r="N134" i="60"/>
  <c r="O134" i="60"/>
  <c r="P134" i="60"/>
  <c r="Q134" i="60"/>
  <c r="G135" i="60"/>
  <c r="H135" i="60"/>
  <c r="I135" i="60"/>
  <c r="J135" i="60"/>
  <c r="K135" i="60"/>
  <c r="L135" i="60"/>
  <c r="M135" i="60"/>
  <c r="N135" i="60"/>
  <c r="O135" i="60"/>
  <c r="P135" i="60"/>
  <c r="Q135" i="60"/>
  <c r="G139" i="60"/>
  <c r="H139" i="60"/>
  <c r="I139" i="60"/>
  <c r="J139" i="60"/>
  <c r="K139" i="60"/>
  <c r="L139" i="60"/>
  <c r="M139" i="60"/>
  <c r="N139" i="60"/>
  <c r="O139" i="60"/>
  <c r="P139" i="60"/>
  <c r="Q139" i="60"/>
  <c r="G140" i="60"/>
  <c r="H140" i="60"/>
  <c r="I140" i="60"/>
  <c r="J140" i="60"/>
  <c r="K140" i="60"/>
  <c r="L140" i="60"/>
  <c r="M140" i="60"/>
  <c r="N140" i="60"/>
  <c r="O140" i="60"/>
  <c r="P140" i="60"/>
  <c r="Q140" i="60"/>
  <c r="H141" i="60"/>
  <c r="I141" i="60"/>
  <c r="J141" i="60"/>
  <c r="K141" i="60"/>
  <c r="L141" i="60"/>
  <c r="M141" i="60"/>
  <c r="N141" i="60"/>
  <c r="O141" i="60"/>
  <c r="P141" i="60"/>
  <c r="Q141" i="60"/>
  <c r="H145" i="60"/>
  <c r="H146" i="60"/>
  <c r="I146" i="60"/>
  <c r="J146" i="60"/>
  <c r="K146" i="60"/>
  <c r="L146" i="60"/>
  <c r="M146" i="60"/>
  <c r="N146" i="60"/>
  <c r="O146" i="60"/>
  <c r="P146" i="60"/>
  <c r="Q146" i="60"/>
  <c r="I194" i="60"/>
  <c r="I195" i="60"/>
  <c r="N198" i="60"/>
  <c r="D199" i="60"/>
  <c r="G200" i="60"/>
  <c r="I200" i="60"/>
  <c r="G201" i="60"/>
  <c r="H201" i="60"/>
  <c r="I201" i="60"/>
  <c r="N201" i="60"/>
  <c r="G202" i="60"/>
  <c r="I202" i="60"/>
  <c r="N204" i="60"/>
  <c r="N205" i="60"/>
  <c r="N206" i="60"/>
  <c r="N207" i="60"/>
  <c r="G211" i="60"/>
  <c r="H211" i="60"/>
  <c r="I211" i="60"/>
  <c r="J211" i="60"/>
  <c r="K211" i="60"/>
  <c r="L211" i="60"/>
  <c r="M211" i="60"/>
  <c r="N211" i="60"/>
  <c r="O211" i="60"/>
  <c r="P211" i="60"/>
  <c r="Q211" i="60"/>
  <c r="G212" i="60"/>
  <c r="G230" i="60"/>
  <c r="H230" i="60"/>
  <c r="I212" i="60"/>
  <c r="I230" i="60"/>
  <c r="J212" i="60"/>
  <c r="J230" i="60"/>
  <c r="K212" i="60"/>
  <c r="K230" i="60"/>
  <c r="L212" i="60"/>
  <c r="L230" i="60"/>
  <c r="M212" i="60"/>
  <c r="M230" i="60"/>
  <c r="N212" i="60"/>
  <c r="N230" i="60"/>
  <c r="O212" i="60"/>
  <c r="O230" i="60"/>
  <c r="P212" i="60"/>
  <c r="P230" i="60"/>
  <c r="Q212" i="60"/>
  <c r="Q230" i="60"/>
  <c r="G213" i="60"/>
  <c r="G231" i="60"/>
  <c r="H213" i="60"/>
  <c r="H231" i="60"/>
  <c r="I213" i="60"/>
  <c r="I231" i="60"/>
  <c r="J213" i="60"/>
  <c r="J231" i="60"/>
  <c r="K213" i="60"/>
  <c r="K231" i="60"/>
  <c r="L213" i="60"/>
  <c r="L231" i="60"/>
  <c r="M213" i="60"/>
  <c r="M231" i="60"/>
  <c r="N213" i="60"/>
  <c r="N231" i="60"/>
  <c r="O213" i="60"/>
  <c r="O231" i="60"/>
  <c r="P213" i="60"/>
  <c r="P231" i="60"/>
  <c r="Q213" i="60"/>
  <c r="Q231" i="60"/>
  <c r="G216" i="60"/>
  <c r="H216" i="60"/>
  <c r="I216" i="60"/>
  <c r="J216" i="60"/>
  <c r="K216" i="60"/>
  <c r="L216" i="60"/>
  <c r="M216" i="60"/>
  <c r="N216" i="60"/>
  <c r="O216" i="60"/>
  <c r="P216" i="60"/>
  <c r="Q216" i="60"/>
  <c r="L217" i="60"/>
  <c r="G218" i="60"/>
  <c r="H218" i="60"/>
  <c r="I218" i="60"/>
  <c r="J218" i="60"/>
  <c r="K218" i="60"/>
  <c r="L218" i="60"/>
  <c r="M218" i="60"/>
  <c r="N218" i="60"/>
  <c r="O218" i="60"/>
  <c r="P218" i="60"/>
  <c r="Q218" i="60"/>
  <c r="G224" i="60"/>
  <c r="H224" i="60"/>
  <c r="I224" i="60"/>
  <c r="J224" i="60"/>
  <c r="K224" i="60"/>
  <c r="L224" i="60"/>
  <c r="M224" i="60"/>
  <c r="N224" i="60"/>
  <c r="O224" i="60"/>
  <c r="P224" i="60"/>
  <c r="Q224" i="60"/>
  <c r="H225" i="60"/>
  <c r="H217" i="60"/>
  <c r="I225" i="60"/>
  <c r="I217" i="60"/>
  <c r="L225" i="60"/>
  <c r="M225" i="60"/>
  <c r="M217" i="60"/>
  <c r="P225" i="60"/>
  <c r="P217" i="60"/>
  <c r="Q225" i="60"/>
  <c r="Q217" i="60"/>
  <c r="G226" i="60"/>
  <c r="H226" i="60"/>
  <c r="I226" i="60"/>
  <c r="J226" i="60"/>
  <c r="K226" i="60"/>
  <c r="L226" i="60"/>
  <c r="M226" i="60"/>
  <c r="N226" i="60"/>
  <c r="O226" i="60"/>
  <c r="P226" i="60"/>
  <c r="Q226" i="60"/>
  <c r="I277" i="60"/>
  <c r="I278" i="60"/>
  <c r="D281" i="60"/>
  <c r="N281" i="60"/>
  <c r="D282" i="60"/>
  <c r="G283" i="60"/>
  <c r="I283" i="60"/>
  <c r="G284" i="60"/>
  <c r="H284" i="60"/>
  <c r="I284" i="60"/>
  <c r="N284" i="60"/>
  <c r="G285" i="60"/>
  <c r="H285" i="60"/>
  <c r="I285" i="60"/>
  <c r="N287" i="60"/>
  <c r="N288" i="60"/>
  <c r="N289" i="60"/>
  <c r="N290" i="60"/>
  <c r="G294" i="60"/>
  <c r="H294" i="60"/>
  <c r="I294" i="60"/>
  <c r="J294" i="60"/>
  <c r="K294" i="60"/>
  <c r="L294" i="60"/>
  <c r="M294" i="60"/>
  <c r="N294" i="60"/>
  <c r="O294" i="60"/>
  <c r="P294" i="60"/>
  <c r="Q294" i="60"/>
  <c r="G295" i="60"/>
  <c r="H295" i="60"/>
  <c r="I295" i="60"/>
  <c r="J295" i="60"/>
  <c r="K295" i="60"/>
  <c r="L295" i="60"/>
  <c r="M295" i="60"/>
  <c r="N295" i="60"/>
  <c r="O295" i="60"/>
  <c r="P295" i="60"/>
  <c r="Q295" i="60"/>
  <c r="G296" i="60"/>
  <c r="H296" i="60"/>
  <c r="I296" i="60"/>
  <c r="J296" i="60"/>
  <c r="K296" i="60"/>
  <c r="L296" i="60"/>
  <c r="M296" i="60"/>
  <c r="N296" i="60"/>
  <c r="O296" i="60"/>
  <c r="P296" i="60"/>
  <c r="Q296" i="60"/>
  <c r="G299" i="60"/>
  <c r="H299" i="60"/>
  <c r="I299" i="60"/>
  <c r="J299" i="60"/>
  <c r="K299" i="60"/>
  <c r="L299" i="60"/>
  <c r="M299" i="60"/>
  <c r="N299" i="60"/>
  <c r="O299" i="60"/>
  <c r="P299" i="60"/>
  <c r="Q299" i="60"/>
  <c r="G300" i="60"/>
  <c r="H300" i="60"/>
  <c r="I300" i="60"/>
  <c r="J300" i="60"/>
  <c r="K300" i="60"/>
  <c r="L300" i="60"/>
  <c r="M300" i="60"/>
  <c r="N300" i="60"/>
  <c r="O300" i="60"/>
  <c r="P300" i="60"/>
  <c r="Q300" i="60"/>
  <c r="G301" i="60"/>
  <c r="H301" i="60"/>
  <c r="I301" i="60"/>
  <c r="J301" i="60"/>
  <c r="K301" i="60"/>
  <c r="L301" i="60"/>
  <c r="M301" i="60"/>
  <c r="N301" i="60"/>
  <c r="O301" i="60"/>
  <c r="P301" i="60"/>
  <c r="Q301" i="60"/>
  <c r="G307" i="60"/>
  <c r="H307" i="60"/>
  <c r="I307" i="60"/>
  <c r="J307" i="60"/>
  <c r="K307" i="60"/>
  <c r="L307" i="60"/>
  <c r="M307" i="60"/>
  <c r="N307" i="60"/>
  <c r="O307" i="60"/>
  <c r="P307" i="60"/>
  <c r="Q307" i="60"/>
  <c r="G308" i="60"/>
  <c r="H308" i="60"/>
  <c r="I308" i="60"/>
  <c r="J308" i="60"/>
  <c r="K308" i="60"/>
  <c r="L308" i="60"/>
  <c r="M308" i="60"/>
  <c r="N308" i="60"/>
  <c r="O308" i="60"/>
  <c r="P308" i="60"/>
  <c r="Q308" i="60"/>
  <c r="G309" i="60"/>
  <c r="H309" i="60"/>
  <c r="I309" i="60"/>
  <c r="J309" i="60"/>
  <c r="K309" i="60"/>
  <c r="L309" i="60"/>
  <c r="M309" i="60"/>
  <c r="N309" i="60"/>
  <c r="O309" i="60"/>
  <c r="P309" i="60"/>
  <c r="Q309" i="60"/>
  <c r="G313" i="60"/>
  <c r="H313" i="60"/>
  <c r="I313" i="60"/>
  <c r="J313" i="60"/>
  <c r="K313" i="60"/>
  <c r="L313" i="60"/>
  <c r="M313" i="60"/>
  <c r="N313" i="60"/>
  <c r="O313" i="60"/>
  <c r="P313" i="60"/>
  <c r="Q313" i="60"/>
  <c r="G314" i="60"/>
  <c r="H314" i="60"/>
  <c r="I314" i="60"/>
  <c r="J314" i="60"/>
  <c r="K314" i="60"/>
  <c r="L314" i="60"/>
  <c r="M314" i="60"/>
  <c r="N314" i="60"/>
  <c r="O314" i="60"/>
  <c r="P314" i="60"/>
  <c r="Q314" i="60"/>
  <c r="I362" i="60"/>
  <c r="I363" i="60"/>
  <c r="N366" i="60"/>
  <c r="D367" i="60"/>
  <c r="G368" i="60"/>
  <c r="I368" i="60"/>
  <c r="G369" i="60"/>
  <c r="H369" i="60"/>
  <c r="I369" i="60"/>
  <c r="N369" i="60"/>
  <c r="G370" i="60"/>
  <c r="H370" i="60"/>
  <c r="I370" i="60"/>
  <c r="N372" i="60"/>
  <c r="N373" i="60"/>
  <c r="N374" i="60"/>
  <c r="N375" i="60"/>
  <c r="G379" i="60"/>
  <c r="H379" i="60"/>
  <c r="I379" i="60"/>
  <c r="J379" i="60"/>
  <c r="K379" i="60"/>
  <c r="L379" i="60"/>
  <c r="M379" i="60"/>
  <c r="N379" i="60"/>
  <c r="O379" i="60"/>
  <c r="P379" i="60"/>
  <c r="Q379" i="60"/>
  <c r="G380" i="60"/>
  <c r="G398" i="60"/>
  <c r="H380" i="60"/>
  <c r="I380" i="60"/>
  <c r="J380" i="60"/>
  <c r="J398" i="60"/>
  <c r="K380" i="60"/>
  <c r="K398" i="60"/>
  <c r="L380" i="60"/>
  <c r="L398" i="60"/>
  <c r="M380" i="60"/>
  <c r="N380" i="60"/>
  <c r="N398" i="60"/>
  <c r="O380" i="60"/>
  <c r="O398" i="60"/>
  <c r="P380" i="60"/>
  <c r="P398" i="60"/>
  <c r="Q380" i="60"/>
  <c r="Q398" i="60"/>
  <c r="G381" i="60"/>
  <c r="G399" i="60"/>
  <c r="H381" i="60"/>
  <c r="H399" i="60"/>
  <c r="I381" i="60"/>
  <c r="I399" i="60"/>
  <c r="J381" i="60"/>
  <c r="J399" i="60"/>
  <c r="K381" i="60"/>
  <c r="L381" i="60"/>
  <c r="L399" i="60"/>
  <c r="M381" i="60"/>
  <c r="M399" i="60"/>
  <c r="N381" i="60"/>
  <c r="N399" i="60"/>
  <c r="O381" i="60"/>
  <c r="O399" i="60"/>
  <c r="P381" i="60"/>
  <c r="P399" i="60"/>
  <c r="Q381" i="60"/>
  <c r="Q399" i="60"/>
  <c r="G384" i="60"/>
  <c r="H384" i="60"/>
  <c r="I384" i="60"/>
  <c r="J384" i="60"/>
  <c r="K384" i="60"/>
  <c r="L384" i="60"/>
  <c r="M384" i="60"/>
  <c r="N384" i="60"/>
  <c r="O384" i="60"/>
  <c r="P384" i="60"/>
  <c r="Q384" i="60"/>
  <c r="G385" i="60"/>
  <c r="H385" i="60"/>
  <c r="I385" i="60"/>
  <c r="J385" i="60"/>
  <c r="K385" i="60"/>
  <c r="L385" i="60"/>
  <c r="M385" i="60"/>
  <c r="N385" i="60"/>
  <c r="O385" i="60"/>
  <c r="P385" i="60"/>
  <c r="Q385" i="60"/>
  <c r="G386" i="60"/>
  <c r="H386" i="60"/>
  <c r="I386" i="60"/>
  <c r="J386" i="60"/>
  <c r="K386" i="60"/>
  <c r="L386" i="60"/>
  <c r="M386" i="60"/>
  <c r="N386" i="60"/>
  <c r="O386" i="60"/>
  <c r="P386" i="60"/>
  <c r="Q386" i="60"/>
  <c r="G392" i="60"/>
  <c r="H392" i="60"/>
  <c r="I392" i="60"/>
  <c r="J392" i="60"/>
  <c r="K392" i="60"/>
  <c r="L392" i="60"/>
  <c r="M392" i="60"/>
  <c r="N392" i="60"/>
  <c r="O392" i="60"/>
  <c r="P392" i="60"/>
  <c r="Q392" i="60"/>
  <c r="G393" i="60"/>
  <c r="H393" i="60"/>
  <c r="I393" i="60"/>
  <c r="J393" i="60"/>
  <c r="K393" i="60"/>
  <c r="L393" i="60"/>
  <c r="M393" i="60"/>
  <c r="N393" i="60"/>
  <c r="O393" i="60"/>
  <c r="P393" i="60"/>
  <c r="Q393" i="60"/>
  <c r="G394" i="60"/>
  <c r="H394" i="60"/>
  <c r="I394" i="60"/>
  <c r="J394" i="60"/>
  <c r="K394" i="60"/>
  <c r="L394" i="60"/>
  <c r="M394" i="60"/>
  <c r="N394" i="60"/>
  <c r="O394" i="60"/>
  <c r="P394" i="60"/>
  <c r="Q394" i="60"/>
  <c r="H398" i="60"/>
  <c r="I398" i="60"/>
  <c r="M398" i="60"/>
  <c r="K399" i="60"/>
  <c r="W13" i="62"/>
  <c r="W15" i="62"/>
  <c r="W17" i="62"/>
  <c r="W19" i="62"/>
  <c r="W21" i="62"/>
  <c r="W23" i="62"/>
  <c r="W25" i="62"/>
  <c r="W28" i="62"/>
  <c r="W31" i="62"/>
  <c r="N116" i="60" s="1"/>
  <c r="W32" i="62"/>
  <c r="N117" i="60" s="1"/>
  <c r="N35" i="62"/>
  <c r="N36" i="62"/>
  <c r="N37" i="62"/>
  <c r="N38" i="62"/>
  <c r="N39" i="62"/>
  <c r="W45" i="62"/>
  <c r="W51" i="62"/>
  <c r="W54" i="62"/>
  <c r="W55" i="62"/>
  <c r="W56" i="62"/>
  <c r="W57" i="62"/>
  <c r="W60" i="62"/>
  <c r="W64" i="62"/>
  <c r="N200" i="60" s="1"/>
  <c r="N68" i="62"/>
  <c r="N69" i="62"/>
  <c r="N70" i="62"/>
  <c r="N71" i="62"/>
  <c r="W78" i="62"/>
  <c r="W81" i="62"/>
  <c r="W83" i="62"/>
  <c r="W85" i="62"/>
  <c r="W86" i="62"/>
  <c r="W87" i="62"/>
  <c r="AK87" i="62"/>
  <c r="W88" i="62"/>
  <c r="W89" i="62"/>
  <c r="AK89" i="62"/>
  <c r="W90" i="62"/>
  <c r="W91" i="62"/>
  <c r="W94" i="62"/>
  <c r="W97" i="62"/>
  <c r="N282" i="60" s="1"/>
  <c r="W98" i="62"/>
  <c r="N283" i="60" s="1"/>
  <c r="N101" i="62"/>
  <c r="N102" i="62"/>
  <c r="N103" i="62"/>
  <c r="N104" i="62"/>
  <c r="N105" i="62"/>
  <c r="W112" i="62"/>
  <c r="W115" i="62"/>
  <c r="W117" i="62"/>
  <c r="W119" i="62"/>
  <c r="W121" i="62"/>
  <c r="W123" i="62"/>
  <c r="W125" i="62"/>
  <c r="W128" i="62"/>
  <c r="W131" i="62"/>
  <c r="N367" i="60" s="1"/>
  <c r="W132" i="62"/>
  <c r="N368" i="60" s="1"/>
  <c r="N135" i="62"/>
  <c r="N136" i="62"/>
  <c r="N137" i="62"/>
  <c r="N138" i="62"/>
  <c r="N139" i="62"/>
  <c r="N11" i="67"/>
  <c r="AY12" i="67"/>
  <c r="AZ12" i="67"/>
  <c r="BA12" i="67"/>
  <c r="BB12" i="67"/>
  <c r="N13" i="67"/>
  <c r="AY14" i="67"/>
  <c r="AZ14" i="67"/>
  <c r="BA14" i="67"/>
  <c r="BB14" i="67"/>
  <c r="X15" i="67"/>
  <c r="AY16" i="67"/>
  <c r="AZ16" i="67"/>
  <c r="BA16" i="67"/>
  <c r="BB16" i="67"/>
  <c r="AY18" i="67"/>
  <c r="AZ18" i="67"/>
  <c r="BA18" i="67"/>
  <c r="BB18" i="67"/>
  <c r="N19" i="67"/>
  <c r="X19" i="67"/>
  <c r="AJ19" i="67"/>
  <c r="AX19" i="67"/>
  <c r="AY19" i="67"/>
  <c r="AZ19" i="67"/>
  <c r="BA19" i="67"/>
  <c r="BB19" i="67"/>
  <c r="CA19" i="67"/>
  <c r="N20" i="67"/>
  <c r="AJ20" i="67"/>
  <c r="AY20" i="67"/>
  <c r="AZ20" i="67"/>
  <c r="BA20" i="67"/>
  <c r="BB20" i="67"/>
  <c r="CA20" i="67"/>
  <c r="N21" i="67"/>
  <c r="X21" i="67"/>
  <c r="AJ21" i="67"/>
  <c r="AX21" i="67"/>
  <c r="AY21" i="67"/>
  <c r="AZ21" i="67"/>
  <c r="BA21" i="67"/>
  <c r="BB21" i="67"/>
  <c r="CA21" i="67"/>
  <c r="N22" i="67"/>
  <c r="AJ22" i="67"/>
  <c r="AY22" i="67"/>
  <c r="AZ22" i="67"/>
  <c r="BA22" i="67"/>
  <c r="BB22" i="67"/>
  <c r="CA22" i="67"/>
  <c r="AJ24" i="67"/>
  <c r="AY24" i="67"/>
  <c r="AZ24" i="67"/>
  <c r="BA24" i="67"/>
  <c r="BB24" i="67"/>
  <c r="AY35" i="67"/>
  <c r="AZ35" i="67"/>
  <c r="BA35" i="67"/>
  <c r="BB35" i="67"/>
  <c r="AY36" i="67"/>
  <c r="AZ36" i="67"/>
  <c r="BA36" i="67"/>
  <c r="BB36" i="67"/>
  <c r="N37" i="67"/>
  <c r="AC37" i="67"/>
  <c r="AK37" i="67"/>
  <c r="AQ37" i="67"/>
  <c r="AY37" i="67"/>
  <c r="AZ37" i="67"/>
  <c r="BA37" i="67"/>
  <c r="BB37" i="67"/>
  <c r="AY38" i="67"/>
  <c r="AZ38" i="67"/>
  <c r="BA38" i="67"/>
  <c r="BB38" i="67"/>
  <c r="N39" i="67"/>
  <c r="AQ39" i="67"/>
  <c r="AC39" i="67"/>
  <c r="AK39" i="67"/>
  <c r="AY39" i="67"/>
  <c r="AZ39" i="67"/>
  <c r="BA39" i="67"/>
  <c r="BB39" i="67"/>
  <c r="AC40" i="67"/>
  <c r="AY40" i="67"/>
  <c r="AZ40" i="67"/>
  <c r="BA40" i="67"/>
  <c r="BB40" i="67"/>
  <c r="AY41" i="67"/>
  <c r="AZ41" i="67"/>
  <c r="BA41" i="67"/>
  <c r="BB41" i="67"/>
  <c r="AY42" i="67"/>
  <c r="AZ42" i="67"/>
  <c r="BA42" i="67"/>
  <c r="BB42" i="67"/>
  <c r="AY43" i="67"/>
  <c r="AZ43" i="67"/>
  <c r="BA43" i="67"/>
  <c r="BB43" i="67"/>
  <c r="AY44" i="67"/>
  <c r="AZ44" i="67"/>
  <c r="BA44" i="67"/>
  <c r="BB44" i="67"/>
  <c r="N45" i="67"/>
  <c r="AC45" i="67"/>
  <c r="AK45" i="67"/>
  <c r="AQ45" i="67"/>
  <c r="AY45" i="67"/>
  <c r="AZ45" i="67"/>
  <c r="BA45" i="67"/>
  <c r="BB45" i="67"/>
  <c r="N46" i="67"/>
  <c r="AC46" i="67"/>
  <c r="AK46" i="67"/>
  <c r="AQ46" i="67"/>
  <c r="AY46" i="67"/>
  <c r="AZ46" i="67"/>
  <c r="BA46" i="67"/>
  <c r="BB46" i="67"/>
  <c r="N47" i="67"/>
  <c r="AC47" i="67"/>
  <c r="AK47" i="67"/>
  <c r="AQ47" i="67"/>
  <c r="AY47" i="67"/>
  <c r="AZ47" i="67"/>
  <c r="BA47" i="67"/>
  <c r="BB47" i="67"/>
  <c r="N48" i="67"/>
  <c r="AC48" i="67"/>
  <c r="AK48" i="67"/>
  <c r="AQ48" i="67"/>
  <c r="AY48" i="67"/>
  <c r="AZ48" i="67"/>
  <c r="BA48" i="67"/>
  <c r="BB48" i="67"/>
  <c r="M54" i="67"/>
  <c r="N54" i="67"/>
  <c r="V54" i="67"/>
  <c r="W54" i="67"/>
  <c r="X54" i="67"/>
  <c r="Y54" i="67"/>
  <c r="Z54" i="67"/>
  <c r="AA54" i="67"/>
  <c r="K55" i="67"/>
  <c r="L55" i="67"/>
  <c r="V55" i="67"/>
  <c r="W55" i="67"/>
  <c r="X55" i="67"/>
  <c r="Y55" i="67"/>
  <c r="Z55" i="67"/>
  <c r="AA55" i="67"/>
  <c r="M57" i="67"/>
  <c r="N57" i="67"/>
  <c r="W57" i="67"/>
  <c r="X57" i="67"/>
  <c r="Z57" i="67"/>
  <c r="AA57" i="67"/>
  <c r="K58" i="67"/>
  <c r="L58" i="67"/>
  <c r="W58" i="67"/>
  <c r="X58" i="67"/>
  <c r="Z58" i="67"/>
  <c r="AA58" i="67"/>
  <c r="N60" i="67"/>
  <c r="V60" i="67"/>
  <c r="Y60" i="67"/>
  <c r="Z60" i="67"/>
  <c r="N63" i="67"/>
  <c r="X63" i="67"/>
  <c r="Y63" i="67"/>
  <c r="X64" i="67"/>
  <c r="Y64" i="67"/>
  <c r="M66" i="67"/>
  <c r="N66" i="67"/>
  <c r="V66" i="67"/>
  <c r="W66" i="67"/>
  <c r="Z66" i="67"/>
  <c r="AA66" i="67"/>
  <c r="K67" i="67"/>
  <c r="V67" i="67"/>
  <c r="W67" i="67"/>
  <c r="Z67" i="67"/>
  <c r="M69" i="67"/>
  <c r="N69" i="67"/>
  <c r="V69" i="67"/>
  <c r="W69" i="67"/>
  <c r="X69" i="67"/>
  <c r="Y69" i="67"/>
  <c r="K70" i="67"/>
  <c r="V70" i="67"/>
  <c r="W70" i="67"/>
  <c r="X70" i="67"/>
  <c r="Y70" i="67"/>
  <c r="I83" i="67"/>
  <c r="S83" i="67"/>
  <c r="Y101" i="67"/>
  <c r="AB83" i="67"/>
  <c r="AY89" i="67"/>
  <c r="AZ89" i="67"/>
  <c r="BA89" i="67"/>
  <c r="BB89" i="67"/>
  <c r="BD89" i="67"/>
  <c r="BE89" i="67"/>
  <c r="BF89" i="67"/>
  <c r="BG89" i="67"/>
  <c r="BI89" i="67"/>
  <c r="BJ89" i="67"/>
  <c r="BK89" i="67"/>
  <c r="BL89" i="67"/>
  <c r="AY91" i="67"/>
  <c r="AZ91" i="67"/>
  <c r="BA91" i="67"/>
  <c r="BB91" i="67"/>
  <c r="BD91" i="67"/>
  <c r="BE91" i="67"/>
  <c r="BF91" i="67"/>
  <c r="BG91" i="67"/>
  <c r="BI91" i="67"/>
  <c r="BJ91" i="67"/>
  <c r="BK91" i="67"/>
  <c r="BL91" i="67"/>
  <c r="AY93" i="67"/>
  <c r="AZ93" i="67"/>
  <c r="BA93" i="67"/>
  <c r="BB93" i="67"/>
  <c r="BD93" i="67"/>
  <c r="BE93" i="67"/>
  <c r="BF93" i="67"/>
  <c r="BG93" i="67"/>
  <c r="BI93" i="67"/>
  <c r="BJ93" i="67"/>
  <c r="BK93" i="67"/>
  <c r="BL93" i="67"/>
  <c r="AY95" i="67"/>
  <c r="AZ95" i="67"/>
  <c r="BA95" i="67"/>
  <c r="BB95" i="67"/>
  <c r="BD95" i="67"/>
  <c r="BE95" i="67"/>
  <c r="BF95" i="67"/>
  <c r="BG95" i="67"/>
  <c r="BI95" i="67"/>
  <c r="BJ95" i="67"/>
  <c r="BK95" i="67"/>
  <c r="BL95" i="67"/>
  <c r="H96" i="67"/>
  <c r="P96" i="67"/>
  <c r="Y96" i="67"/>
  <c r="AO96" i="67"/>
  <c r="AR96" i="67"/>
  <c r="AX96" i="67"/>
  <c r="AY96" i="67"/>
  <c r="AZ96" i="67"/>
  <c r="BA96" i="67"/>
  <c r="BB96" i="67"/>
  <c r="BC96" i="67"/>
  <c r="BD96" i="67"/>
  <c r="BE96" i="67"/>
  <c r="BF96" i="67"/>
  <c r="BG96" i="67"/>
  <c r="BH96" i="67"/>
  <c r="BI96" i="67"/>
  <c r="BJ96" i="67"/>
  <c r="BK96" i="67"/>
  <c r="BL96" i="67"/>
  <c r="AH96" i="67"/>
  <c r="P97" i="67"/>
  <c r="Y97" i="67"/>
  <c r="AH97" i="67"/>
  <c r="AO97" i="67"/>
  <c r="AY97" i="67"/>
  <c r="AZ97" i="67"/>
  <c r="BA97" i="67"/>
  <c r="BB97" i="67"/>
  <c r="BD97" i="67"/>
  <c r="BE97" i="67"/>
  <c r="BF97" i="67"/>
  <c r="BG97" i="67"/>
  <c r="BI97" i="67"/>
  <c r="BJ97" i="67"/>
  <c r="BK97" i="67"/>
  <c r="BL97" i="67"/>
  <c r="H98" i="67"/>
  <c r="P98" i="67"/>
  <c r="AO98" i="67"/>
  <c r="AR98" i="67"/>
  <c r="AX98" i="67"/>
  <c r="AY98" i="67"/>
  <c r="AZ98" i="67"/>
  <c r="BA98" i="67"/>
  <c r="BB98" i="67"/>
  <c r="BC98" i="67"/>
  <c r="BD98" i="67"/>
  <c r="BE98" i="67"/>
  <c r="BF98" i="67"/>
  <c r="BG98" i="67"/>
  <c r="Y98" i="67"/>
  <c r="BH98" i="67"/>
  <c r="BI98" i="67"/>
  <c r="BJ98" i="67"/>
  <c r="BK98" i="67"/>
  <c r="BL98" i="67"/>
  <c r="AH98" i="67"/>
  <c r="P99" i="67"/>
  <c r="Y99" i="67"/>
  <c r="AH99" i="67"/>
  <c r="AO99" i="67"/>
  <c r="AY99" i="67"/>
  <c r="AZ99" i="67"/>
  <c r="BA99" i="67"/>
  <c r="BB99" i="67"/>
  <c r="BD99" i="67"/>
  <c r="BE99" i="67"/>
  <c r="BF99" i="67"/>
  <c r="BG99" i="67"/>
  <c r="BI99" i="67"/>
  <c r="BJ99" i="67"/>
  <c r="BK99" i="67"/>
  <c r="BL99" i="67"/>
  <c r="P101" i="67"/>
  <c r="BD101" i="67"/>
  <c r="BE101" i="67"/>
  <c r="BF101" i="67"/>
  <c r="BG101" i="67"/>
  <c r="BI101" i="67"/>
  <c r="BJ101" i="67"/>
  <c r="BK101" i="67"/>
  <c r="BL101" i="67"/>
  <c r="I107" i="67"/>
  <c r="S107" i="67"/>
  <c r="Y125" i="67"/>
  <c r="AH125" i="67"/>
  <c r="AR124" i="67"/>
  <c r="AB107" i="67"/>
  <c r="AY113" i="67"/>
  <c r="AZ113" i="67"/>
  <c r="BA113" i="67"/>
  <c r="BB113" i="67"/>
  <c r="BD113" i="67"/>
  <c r="BE113" i="67"/>
  <c r="BF113" i="67"/>
  <c r="BG113" i="67"/>
  <c r="BI113" i="67"/>
  <c r="BJ113" i="67"/>
  <c r="BK113" i="67"/>
  <c r="BL113" i="67"/>
  <c r="AY115" i="67"/>
  <c r="AZ115" i="67"/>
  <c r="BA115" i="67"/>
  <c r="BB115" i="67"/>
  <c r="BD115" i="67"/>
  <c r="BE115" i="67"/>
  <c r="BF115" i="67"/>
  <c r="BG115" i="67"/>
  <c r="BI115" i="67"/>
  <c r="BJ115" i="67"/>
  <c r="BK115" i="67"/>
  <c r="BL115" i="67"/>
  <c r="H116" i="67"/>
  <c r="AY117" i="67"/>
  <c r="AZ117" i="67"/>
  <c r="BA117" i="67"/>
  <c r="BB117" i="67"/>
  <c r="BD117" i="67"/>
  <c r="BE117" i="67"/>
  <c r="BF117" i="67"/>
  <c r="BG117" i="67"/>
  <c r="BI117" i="67"/>
  <c r="BJ117" i="67"/>
  <c r="BK117" i="67"/>
  <c r="BL117" i="67"/>
  <c r="AY119" i="67"/>
  <c r="AZ119" i="67"/>
  <c r="BA119" i="67"/>
  <c r="BB119" i="67"/>
  <c r="BD119" i="67"/>
  <c r="BE119" i="67"/>
  <c r="BF119" i="67"/>
  <c r="BG119" i="67"/>
  <c r="BI119" i="67"/>
  <c r="BJ119" i="67"/>
  <c r="BK119" i="67"/>
  <c r="BL119" i="67"/>
  <c r="H120" i="67"/>
  <c r="AH120" i="67"/>
  <c r="AO120" i="67"/>
  <c r="AR120" i="67"/>
  <c r="AX120" i="67"/>
  <c r="AY120" i="67"/>
  <c r="AZ120" i="67"/>
  <c r="BA120" i="67"/>
  <c r="BB120" i="67"/>
  <c r="P120" i="67"/>
  <c r="BC120" i="67"/>
  <c r="BD120" i="67"/>
  <c r="BE120" i="67"/>
  <c r="BF120" i="67"/>
  <c r="BG120" i="67"/>
  <c r="Y120" i="67"/>
  <c r="BH120" i="67"/>
  <c r="BI120" i="67"/>
  <c r="BJ120" i="67"/>
  <c r="BK120" i="67"/>
  <c r="BL120" i="67"/>
  <c r="P121" i="67"/>
  <c r="Y121" i="67"/>
  <c r="AH121" i="67"/>
  <c r="AO121" i="67"/>
  <c r="AY121" i="67"/>
  <c r="AZ121" i="67"/>
  <c r="BA121" i="67"/>
  <c r="BB121" i="67"/>
  <c r="BD121" i="67"/>
  <c r="BE121" i="67"/>
  <c r="BF121" i="67"/>
  <c r="BG121" i="67"/>
  <c r="BI121" i="67"/>
  <c r="BJ121" i="67"/>
  <c r="BK121" i="67"/>
  <c r="BL121" i="67"/>
  <c r="H122" i="67"/>
  <c r="Y122" i="67"/>
  <c r="AH122" i="67"/>
  <c r="AO122" i="67"/>
  <c r="AR122" i="67"/>
  <c r="AX122" i="67"/>
  <c r="AY122" i="67"/>
  <c r="AZ122" i="67"/>
  <c r="BA122" i="67"/>
  <c r="BB122" i="67"/>
  <c r="P122" i="67"/>
  <c r="BC122" i="67"/>
  <c r="BD122" i="67"/>
  <c r="BE122" i="67"/>
  <c r="BF122" i="67"/>
  <c r="BG122" i="67"/>
  <c r="BH122" i="67"/>
  <c r="BI122" i="67"/>
  <c r="BJ122" i="67"/>
  <c r="BK122" i="67"/>
  <c r="BL122" i="67"/>
  <c r="P123" i="67"/>
  <c r="Y123" i="67"/>
  <c r="AH123" i="67"/>
  <c r="AO123" i="67"/>
  <c r="AY123" i="67"/>
  <c r="AZ123" i="67"/>
  <c r="BA123" i="67"/>
  <c r="BB123" i="67"/>
  <c r="BD123" i="67"/>
  <c r="BE123" i="67"/>
  <c r="BF123" i="67"/>
  <c r="BG123" i="67"/>
  <c r="BI123" i="67"/>
  <c r="BJ123" i="67"/>
  <c r="BK123" i="67"/>
  <c r="BL123" i="67"/>
  <c r="P125" i="67"/>
  <c r="BD125" i="67"/>
  <c r="BE125" i="67"/>
  <c r="BF125" i="67"/>
  <c r="BG125" i="67"/>
  <c r="BI125" i="67"/>
  <c r="BJ125" i="67"/>
  <c r="BK125" i="67"/>
  <c r="BL125" i="67"/>
  <c r="I131" i="67"/>
  <c r="S131" i="67"/>
  <c r="AB131" i="67"/>
  <c r="AY137" i="67"/>
  <c r="AZ137" i="67"/>
  <c r="BA137" i="67"/>
  <c r="BB137" i="67"/>
  <c r="BD137" i="67"/>
  <c r="BE137" i="67"/>
  <c r="BF137" i="67"/>
  <c r="BG137" i="67"/>
  <c r="BI137" i="67"/>
  <c r="BJ137" i="67"/>
  <c r="BK137" i="67"/>
  <c r="BL137" i="67"/>
  <c r="AY139" i="67"/>
  <c r="AZ139" i="67"/>
  <c r="BA139" i="67"/>
  <c r="BB139" i="67"/>
  <c r="BD139" i="67"/>
  <c r="BE139" i="67"/>
  <c r="BF139" i="67"/>
  <c r="BG139" i="67"/>
  <c r="BI139" i="67"/>
  <c r="BJ139" i="67"/>
  <c r="BK139" i="67"/>
  <c r="BL139" i="67"/>
  <c r="H140" i="67"/>
  <c r="AY141" i="67"/>
  <c r="AZ141" i="67"/>
  <c r="BA141" i="67"/>
  <c r="BB141" i="67"/>
  <c r="BD141" i="67"/>
  <c r="BE141" i="67"/>
  <c r="BF141" i="67"/>
  <c r="BG141" i="67"/>
  <c r="BI141" i="67"/>
  <c r="BJ141" i="67"/>
  <c r="BK141" i="67"/>
  <c r="BL141" i="67"/>
  <c r="AY143" i="67"/>
  <c r="AZ143" i="67"/>
  <c r="BA143" i="67"/>
  <c r="BB143" i="67"/>
  <c r="BD143" i="67"/>
  <c r="BE143" i="67"/>
  <c r="BF143" i="67"/>
  <c r="BG143" i="67"/>
  <c r="BI143" i="67"/>
  <c r="BJ143" i="67"/>
  <c r="BK143" i="67"/>
  <c r="BL143" i="67"/>
  <c r="H144" i="67"/>
  <c r="P144" i="67"/>
  <c r="Y144" i="67"/>
  <c r="AO144" i="67"/>
  <c r="AR144" i="67"/>
  <c r="AX144" i="67"/>
  <c r="AY144" i="67"/>
  <c r="AZ144" i="67"/>
  <c r="BA144" i="67"/>
  <c r="BB144" i="67"/>
  <c r="BC144" i="67"/>
  <c r="BD144" i="67"/>
  <c r="BE144" i="67"/>
  <c r="BF144" i="67"/>
  <c r="BG144" i="67"/>
  <c r="BH144" i="67"/>
  <c r="BI144" i="67"/>
  <c r="BJ144" i="67"/>
  <c r="BK144" i="67"/>
  <c r="BL144" i="67"/>
  <c r="P145" i="67"/>
  <c r="Y145" i="67"/>
  <c r="AH145" i="67"/>
  <c r="AO145" i="67"/>
  <c r="AY145" i="67"/>
  <c r="AZ145" i="67"/>
  <c r="BA145" i="67"/>
  <c r="BB145" i="67"/>
  <c r="BD145" i="67"/>
  <c r="BE145" i="67"/>
  <c r="BF145" i="67"/>
  <c r="BG145" i="67"/>
  <c r="BI145" i="67"/>
  <c r="BJ145" i="67"/>
  <c r="BK145" i="67"/>
  <c r="BL145" i="67"/>
  <c r="H146" i="67"/>
  <c r="P146" i="67"/>
  <c r="AO146" i="67"/>
  <c r="AR146" i="67"/>
  <c r="AX146" i="67"/>
  <c r="AY146" i="67"/>
  <c r="AZ146" i="67"/>
  <c r="BA146" i="67"/>
  <c r="BB146" i="67"/>
  <c r="BC146" i="67"/>
  <c r="BD146" i="67"/>
  <c r="BE146" i="67"/>
  <c r="BF146" i="67"/>
  <c r="BG146" i="67"/>
  <c r="Y146" i="67"/>
  <c r="BH146" i="67"/>
  <c r="BI146" i="67"/>
  <c r="BJ146" i="67"/>
  <c r="BK146" i="67"/>
  <c r="BL146" i="67"/>
  <c r="P147" i="67"/>
  <c r="Y147" i="67"/>
  <c r="AH147" i="67"/>
  <c r="AO147" i="67"/>
  <c r="AY147" i="67"/>
  <c r="AZ147" i="67"/>
  <c r="BA147" i="67"/>
  <c r="BB147" i="67"/>
  <c r="BD147" i="67"/>
  <c r="BE147" i="67"/>
  <c r="BF147" i="67"/>
  <c r="BG147" i="67"/>
  <c r="BI147" i="67"/>
  <c r="BJ147" i="67"/>
  <c r="BK147" i="67"/>
  <c r="BL147" i="67"/>
  <c r="P149" i="67"/>
  <c r="Y149" i="67"/>
  <c r="AH149" i="67"/>
  <c r="AR148" i="67"/>
  <c r="AO149" i="67"/>
  <c r="BD149" i="67"/>
  <c r="BE149" i="67"/>
  <c r="BF149" i="67"/>
  <c r="BG149" i="67"/>
  <c r="BI149" i="67"/>
  <c r="BJ149" i="67"/>
  <c r="BK149" i="67"/>
  <c r="BL149" i="67"/>
  <c r="D12" i="53"/>
  <c r="E12" i="53"/>
  <c r="F12" i="53"/>
  <c r="G12" i="53"/>
  <c r="H12" i="53"/>
  <c r="I12" i="53"/>
  <c r="J12" i="53"/>
  <c r="P15" i="53"/>
  <c r="D16" i="53"/>
  <c r="P16" i="53"/>
  <c r="P17" i="53"/>
  <c r="D18" i="53"/>
  <c r="E18" i="53"/>
  <c r="F18" i="53"/>
  <c r="G18" i="53"/>
  <c r="H18" i="53"/>
  <c r="I18" i="53"/>
  <c r="J18" i="53"/>
  <c r="P18" i="53"/>
  <c r="D19" i="53"/>
  <c r="E19" i="53"/>
  <c r="F19" i="53"/>
  <c r="G19" i="53"/>
  <c r="H19" i="53"/>
  <c r="I19" i="53"/>
  <c r="J19" i="53"/>
  <c r="P19" i="53"/>
  <c r="P24" i="53"/>
  <c r="P25" i="53"/>
  <c r="D26" i="53"/>
  <c r="E26" i="53"/>
  <c r="F26" i="53"/>
  <c r="G26" i="53"/>
  <c r="H26" i="53"/>
  <c r="I26" i="53"/>
  <c r="J26" i="53"/>
  <c r="P26" i="53"/>
  <c r="D27" i="53"/>
  <c r="E27" i="53"/>
  <c r="F27" i="53"/>
  <c r="G27" i="53"/>
  <c r="H27" i="53"/>
  <c r="I27" i="53"/>
  <c r="J27" i="53"/>
  <c r="P27" i="53"/>
  <c r="D29" i="53"/>
  <c r="P29" i="53"/>
  <c r="D30" i="53"/>
  <c r="E30" i="53"/>
  <c r="F30" i="53"/>
  <c r="H30" i="53"/>
  <c r="I30" i="53"/>
  <c r="P30" i="53"/>
  <c r="D31" i="53"/>
  <c r="P31" i="53"/>
  <c r="E32" i="53"/>
  <c r="F32" i="53"/>
  <c r="P32" i="53"/>
  <c r="P34" i="53"/>
  <c r="H33" i="53"/>
  <c r="P33" i="53"/>
  <c r="D34" i="53"/>
  <c r="E34" i="53"/>
  <c r="G34" i="53"/>
  <c r="H34" i="53"/>
  <c r="I34" i="53"/>
  <c r="J34" i="53"/>
  <c r="D38" i="53"/>
  <c r="P38" i="53"/>
  <c r="D39" i="53"/>
  <c r="P39" i="53"/>
  <c r="D43" i="53"/>
  <c r="P43" i="53"/>
  <c r="D44" i="53"/>
  <c r="P44" i="53"/>
  <c r="D52" i="53"/>
  <c r="P52" i="53"/>
  <c r="P68" i="53"/>
  <c r="D82" i="53"/>
  <c r="E82" i="53"/>
  <c r="F82" i="53"/>
  <c r="P85" i="53"/>
  <c r="P86" i="53"/>
  <c r="D87" i="53"/>
  <c r="E87" i="53"/>
  <c r="F87" i="53"/>
  <c r="P87" i="53"/>
  <c r="D88" i="53"/>
  <c r="E88" i="53"/>
  <c r="F88" i="53"/>
  <c r="P88" i="53"/>
  <c r="D90" i="53"/>
  <c r="E90" i="53"/>
  <c r="F90" i="53"/>
  <c r="P90" i="53"/>
  <c r="D91" i="53"/>
  <c r="E91" i="53"/>
  <c r="F91" i="53"/>
  <c r="P91" i="53"/>
  <c r="D96" i="53"/>
  <c r="P96" i="53"/>
  <c r="D97" i="53"/>
  <c r="P97" i="53"/>
  <c r="P98" i="53"/>
  <c r="D99" i="53"/>
  <c r="E99" i="53"/>
  <c r="F99" i="53"/>
  <c r="P99" i="53"/>
  <c r="D100" i="53"/>
  <c r="E100" i="53"/>
  <c r="F100" i="53"/>
  <c r="P100" i="53"/>
  <c r="D104" i="53"/>
  <c r="P104" i="53"/>
  <c r="D105" i="53"/>
  <c r="P105" i="53"/>
  <c r="D109" i="53"/>
  <c r="P109" i="53"/>
  <c r="D110" i="53"/>
  <c r="P110" i="53"/>
  <c r="D114" i="53"/>
  <c r="AA67" i="67"/>
  <c r="P114" i="53"/>
  <c r="D118" i="53"/>
  <c r="P118" i="53"/>
  <c r="D148" i="53"/>
  <c r="E148" i="53"/>
  <c r="F148" i="53"/>
  <c r="G148" i="53"/>
  <c r="P152" i="53"/>
  <c r="P153" i="53"/>
  <c r="W63" i="67"/>
  <c r="P154" i="53"/>
  <c r="P155" i="53"/>
  <c r="P156" i="53"/>
  <c r="P157" i="53"/>
  <c r="D161" i="53"/>
  <c r="D162" i="53"/>
  <c r="D164" i="53"/>
  <c r="P164" i="53"/>
  <c r="E165" i="53"/>
  <c r="P165" i="53"/>
  <c r="D179" i="53"/>
  <c r="D181" i="53"/>
  <c r="G181" i="53"/>
  <c r="P179" i="53"/>
  <c r="P193" i="53"/>
  <c r="E208" i="53"/>
  <c r="F208" i="53"/>
  <c r="P211" i="53"/>
  <c r="P212" i="53"/>
  <c r="P213" i="53"/>
  <c r="W60" i="67"/>
  <c r="P214" i="53"/>
  <c r="P215" i="53"/>
  <c r="P216" i="53"/>
  <c r="P217" i="53"/>
  <c r="P218" i="53"/>
  <c r="P230" i="53"/>
  <c r="Z13" i="57"/>
  <c r="AC43" i="67"/>
  <c r="M60" i="67"/>
  <c r="P219" i="53"/>
  <c r="P231" i="53"/>
  <c r="P222" i="53"/>
  <c r="P224" i="53"/>
  <c r="E225" i="53"/>
  <c r="P225" i="53"/>
  <c r="D239" i="53"/>
  <c r="F241" i="53"/>
  <c r="F248" i="53"/>
  <c r="P239" i="53"/>
  <c r="P254" i="53"/>
  <c r="D272" i="53"/>
  <c r="P272" i="53"/>
  <c r="D273" i="53"/>
  <c r="P273" i="53"/>
  <c r="P274" i="53"/>
  <c r="P275" i="53"/>
  <c r="P276" i="53"/>
  <c r="D277" i="53"/>
  <c r="P277" i="53"/>
  <c r="D278" i="53"/>
  <c r="P278" i="53"/>
  <c r="P280" i="53"/>
  <c r="D281" i="53"/>
  <c r="P281" i="53"/>
  <c r="D282" i="53"/>
  <c r="P282" i="53"/>
  <c r="D286" i="53"/>
  <c r="P286" i="53"/>
  <c r="D287" i="53"/>
  <c r="P287" i="53"/>
  <c r="D291" i="53"/>
  <c r="P291" i="53"/>
  <c r="D295" i="53"/>
  <c r="P295" i="53"/>
  <c r="D297" i="53"/>
  <c r="D298" i="53"/>
  <c r="D299" i="53"/>
  <c r="D300" i="53"/>
  <c r="D301" i="53"/>
  <c r="D302" i="53"/>
  <c r="D303" i="53"/>
  <c r="D304" i="53"/>
  <c r="D305" i="53"/>
  <c r="D309" i="53"/>
  <c r="P309" i="53"/>
  <c r="D310" i="53"/>
  <c r="P310" i="53"/>
  <c r="D311" i="53"/>
  <c r="P311" i="53"/>
  <c r="D312" i="53"/>
  <c r="P312" i="53"/>
  <c r="D313" i="53"/>
  <c r="P313" i="53"/>
  <c r="D314" i="53"/>
  <c r="E314" i="53"/>
  <c r="P314" i="53"/>
  <c r="Q314" i="53"/>
  <c r="D315" i="53"/>
  <c r="P315" i="53"/>
  <c r="D316" i="53"/>
  <c r="P316" i="53"/>
  <c r="D317" i="53"/>
  <c r="P317" i="53"/>
  <c r="D324" i="53"/>
  <c r="E324" i="53"/>
  <c r="F324" i="53"/>
  <c r="P327" i="53"/>
  <c r="P328" i="53"/>
  <c r="D329" i="53"/>
  <c r="P329" i="53"/>
  <c r="P330" i="53"/>
  <c r="P331" i="53"/>
  <c r="P332" i="53"/>
  <c r="P333" i="53"/>
  <c r="D334" i="53"/>
  <c r="E334" i="53"/>
  <c r="F334" i="53"/>
  <c r="P334" i="53"/>
  <c r="D335" i="53"/>
  <c r="E335" i="53"/>
  <c r="F335" i="53"/>
  <c r="P335" i="53"/>
  <c r="P337" i="53"/>
  <c r="D338" i="53"/>
  <c r="E338" i="53"/>
  <c r="F338" i="53"/>
  <c r="P338" i="53"/>
  <c r="D339" i="53"/>
  <c r="E339" i="53"/>
  <c r="F339" i="53"/>
  <c r="P339" i="53"/>
  <c r="D343" i="53"/>
  <c r="P343" i="53"/>
  <c r="D344" i="53"/>
  <c r="P344" i="53"/>
  <c r="D348" i="53"/>
  <c r="P348" i="53"/>
  <c r="D352" i="53"/>
  <c r="P352" i="53"/>
  <c r="D354" i="53"/>
  <c r="E354" i="53"/>
  <c r="F354" i="53"/>
  <c r="D355" i="53"/>
  <c r="E355" i="53"/>
  <c r="F355" i="53"/>
  <c r="D356" i="53"/>
  <c r="E356" i="53"/>
  <c r="F356" i="53"/>
  <c r="D357" i="53"/>
  <c r="E357" i="53"/>
  <c r="F357" i="53"/>
  <c r="D358" i="53"/>
  <c r="E358" i="53"/>
  <c r="F358" i="53"/>
  <c r="D359" i="53"/>
  <c r="E359" i="53"/>
  <c r="F359" i="53"/>
  <c r="D360" i="53"/>
  <c r="E360" i="53"/>
  <c r="F360" i="53"/>
  <c r="D361" i="53"/>
  <c r="E361" i="53"/>
  <c r="F361" i="53"/>
  <c r="D362" i="53"/>
  <c r="E362" i="53"/>
  <c r="F362" i="53"/>
  <c r="D366" i="53"/>
  <c r="P366" i="53"/>
  <c r="D367" i="53"/>
  <c r="P367" i="53"/>
  <c r="D368" i="53"/>
  <c r="P368" i="53"/>
  <c r="D369" i="53"/>
  <c r="P369" i="53"/>
  <c r="D370" i="53"/>
  <c r="P370" i="53"/>
  <c r="D371" i="53"/>
  <c r="E371" i="53"/>
  <c r="P371" i="53"/>
  <c r="Q371" i="53"/>
  <c r="D372" i="53"/>
  <c r="P372" i="53"/>
  <c r="D373" i="53"/>
  <c r="P373" i="53"/>
  <c r="D374" i="53"/>
  <c r="P374" i="53"/>
  <c r="P381" i="53"/>
  <c r="D382" i="53"/>
  <c r="P382" i="53"/>
  <c r="P383" i="53"/>
  <c r="D386" i="53"/>
  <c r="P386" i="53"/>
  <c r="D387" i="53"/>
  <c r="P387" i="53"/>
  <c r="P388" i="53"/>
  <c r="P389" i="53"/>
  <c r="P390" i="53"/>
  <c r="D391" i="53"/>
  <c r="P391" i="53"/>
  <c r="Y12" i="52"/>
  <c r="Y17" i="52"/>
  <c r="Y22" i="52"/>
  <c r="Y34" i="52"/>
  <c r="Y43" i="52"/>
  <c r="Z51" i="52"/>
  <c r="Y9" i="51"/>
  <c r="Y12" i="51"/>
  <c r="Y28" i="51"/>
  <c r="Y35" i="51"/>
  <c r="U27" i="6"/>
  <c r="U29" i="6"/>
  <c r="U30" i="6"/>
  <c r="U31" i="6"/>
  <c r="S14" i="9"/>
  <c r="Y14" i="9"/>
  <c r="Y25" i="9"/>
  <c r="Y58" i="9"/>
  <c r="Y70" i="9"/>
  <c r="S84" i="9"/>
  <c r="L38" i="63"/>
  <c r="Y84" i="9"/>
  <c r="Y92" i="9"/>
  <c r="Y111" i="9"/>
  <c r="S121" i="9"/>
  <c r="L51" i="63"/>
  <c r="Y121" i="9"/>
  <c r="D208" i="53"/>
  <c r="T139" i="9"/>
  <c r="Y139" i="9"/>
  <c r="Y148" i="9"/>
  <c r="S155" i="9"/>
  <c r="Y155" i="9"/>
  <c r="Q4" i="61"/>
  <c r="K11" i="57"/>
  <c r="N14" i="67"/>
  <c r="N40" i="67"/>
  <c r="O11" i="57"/>
  <c r="AL11" i="57"/>
  <c r="AQ40" i="67"/>
  <c r="L67" i="67"/>
  <c r="AK40" i="67"/>
  <c r="Y14" i="52"/>
  <c r="F181" i="53"/>
  <c r="E241" i="53"/>
  <c r="E248" i="53"/>
  <c r="O92" i="59"/>
  <c r="W63" i="62"/>
  <c r="N199" i="60" s="1"/>
  <c r="K47" i="59"/>
  <c r="K103" i="59"/>
  <c r="I47" i="59"/>
  <c r="I103" i="59"/>
  <c r="E181" i="53"/>
  <c r="X17" i="67"/>
  <c r="Z54" i="52"/>
  <c r="P253" i="53"/>
  <c r="D366" i="60"/>
  <c r="H94" i="67"/>
  <c r="H118" i="67"/>
  <c r="U28" i="6"/>
  <c r="Z48" i="52"/>
  <c r="H142" i="67"/>
  <c r="H92" i="67"/>
  <c r="Y21" i="51"/>
  <c r="Y61" i="67"/>
  <c r="Z61" i="67"/>
  <c r="V61" i="67"/>
  <c r="D213" i="53"/>
  <c r="P384" i="53"/>
  <c r="AC15" i="59"/>
  <c r="AE15" i="59"/>
  <c r="D383" i="53"/>
  <c r="D221" i="53"/>
  <c r="F163" i="53"/>
  <c r="G162" i="53"/>
  <c r="P161" i="53"/>
  <c r="E163" i="53"/>
  <c r="F162" i="53"/>
  <c r="F166" i="53"/>
  <c r="D163" i="53"/>
  <c r="E162" i="53"/>
  <c r="G163" i="53"/>
  <c r="G166" i="53"/>
  <c r="G188" i="53"/>
  <c r="P48" i="53"/>
  <c r="F34" i="53"/>
  <c r="F188" i="53"/>
  <c r="P53" i="53"/>
  <c r="P67" i="53"/>
  <c r="P74" i="53"/>
  <c r="AD9" i="59"/>
  <c r="D53" i="53"/>
  <c r="G55" i="53"/>
  <c r="G62" i="53"/>
  <c r="D119" i="53"/>
  <c r="G6" i="57"/>
  <c r="D197" i="60"/>
  <c r="P119" i="53"/>
  <c r="P133" i="53"/>
  <c r="D218" i="53"/>
  <c r="E218" i="53"/>
  <c r="F218" i="53"/>
  <c r="W61" i="67"/>
  <c r="BC148" i="67"/>
  <c r="G31" i="57"/>
  <c r="G32" i="57"/>
  <c r="BC100" i="67"/>
  <c r="BC124" i="67"/>
  <c r="D384" i="53"/>
  <c r="P162" i="53"/>
  <c r="P166" i="53"/>
  <c r="P175" i="53"/>
  <c r="D223" i="53"/>
  <c r="D226" i="53"/>
  <c r="F223" i="53"/>
  <c r="F226" i="53"/>
  <c r="P221" i="53"/>
  <c r="E166" i="53"/>
  <c r="E188" i="53"/>
  <c r="E223" i="53"/>
  <c r="E226" i="53"/>
  <c r="P163" i="53"/>
  <c r="D166" i="53"/>
  <c r="D48" i="53"/>
  <c r="AH10" i="57"/>
  <c r="AA69" i="67"/>
  <c r="D121" i="53"/>
  <c r="D128" i="53"/>
  <c r="D122" i="53"/>
  <c r="D127" i="53"/>
  <c r="E55" i="53"/>
  <c r="E62" i="53"/>
  <c r="J56" i="53"/>
  <c r="D280" i="60"/>
  <c r="X11" i="67"/>
  <c r="H136" i="67"/>
  <c r="D365" i="60"/>
  <c r="H138" i="67"/>
  <c r="H88" i="67"/>
  <c r="F219" i="53"/>
  <c r="D219" i="53"/>
  <c r="D230" i="53"/>
  <c r="G13" i="57"/>
  <c r="E219" i="53"/>
  <c r="BD124" i="67"/>
  <c r="BF124" i="67"/>
  <c r="AO124" i="67"/>
  <c r="BE124" i="67"/>
  <c r="BG124" i="67"/>
  <c r="Y124" i="67"/>
  <c r="AO148" i="67"/>
  <c r="BF148" i="67"/>
  <c r="BD148" i="67"/>
  <c r="D235" i="53"/>
  <c r="K13" i="57"/>
  <c r="BD100" i="67"/>
  <c r="AO100" i="67"/>
  <c r="BF100" i="67"/>
  <c r="T31" i="57"/>
  <c r="BH100" i="67"/>
  <c r="AX148" i="67"/>
  <c r="AX23" i="67"/>
  <c r="AX100" i="67"/>
  <c r="AX124" i="67"/>
  <c r="BH124" i="67"/>
  <c r="BH148" i="67"/>
  <c r="P223" i="53"/>
  <c r="P226" i="53"/>
  <c r="P235" i="53"/>
  <c r="P260" i="53"/>
  <c r="D175" i="53"/>
  <c r="AA63" i="67"/>
  <c r="AH12" i="57"/>
  <c r="P200" i="53"/>
  <c r="AD11" i="59"/>
  <c r="AP10" i="57"/>
  <c r="AC38" i="67"/>
  <c r="AA70" i="67"/>
  <c r="K10" i="57"/>
  <c r="AL10" i="57"/>
  <c r="Q72" i="53"/>
  <c r="AA61" i="67"/>
  <c r="AD13" i="57"/>
  <c r="N17" i="67"/>
  <c r="N43" i="67"/>
  <c r="D231" i="53"/>
  <c r="BG100" i="67"/>
  <c r="Y100" i="67"/>
  <c r="BA100" i="67"/>
  <c r="AY100" i="67"/>
  <c r="AZ100" i="67"/>
  <c r="BB100" i="67"/>
  <c r="P100" i="67"/>
  <c r="AY23" i="67"/>
  <c r="AZ23" i="67"/>
  <c r="BA23" i="67"/>
  <c r="BE100" i="67"/>
  <c r="BE148" i="67"/>
  <c r="BG148" i="67"/>
  <c r="Y148" i="67"/>
  <c r="BI124" i="67"/>
  <c r="BJ124" i="67"/>
  <c r="BK124" i="67"/>
  <c r="BL124" i="67"/>
  <c r="AH124" i="67"/>
  <c r="AY148" i="67"/>
  <c r="AZ148" i="67"/>
  <c r="BB148" i="67"/>
  <c r="P148" i="67"/>
  <c r="BA148" i="67"/>
  <c r="E36" i="59"/>
  <c r="F36" i="59"/>
  <c r="G36" i="59"/>
  <c r="H36" i="59"/>
  <c r="I36" i="59"/>
  <c r="J36" i="59"/>
  <c r="K36" i="59"/>
  <c r="L36" i="59"/>
  <c r="M36" i="59"/>
  <c r="N36" i="59"/>
  <c r="O36" i="59"/>
  <c r="BI148" i="67"/>
  <c r="BK148" i="67"/>
  <c r="BJ148" i="67"/>
  <c r="BL148" i="67"/>
  <c r="AH148" i="67"/>
  <c r="AY124" i="67"/>
  <c r="BA124" i="67"/>
  <c r="BB124" i="67"/>
  <c r="P124" i="67"/>
  <c r="AZ124" i="67"/>
  <c r="BL100" i="67"/>
  <c r="AH100" i="67"/>
  <c r="BJ100" i="67"/>
  <c r="BI100" i="67"/>
  <c r="BK100" i="67"/>
  <c r="AA60" i="67"/>
  <c r="AH13" i="57"/>
  <c r="AL13" i="57"/>
  <c r="K12" i="57"/>
  <c r="AL12" i="57"/>
  <c r="AA64" i="67"/>
  <c r="AC42" i="67"/>
  <c r="N18" i="67"/>
  <c r="N44" i="67"/>
  <c r="L61" i="67"/>
  <c r="O13" i="57"/>
  <c r="AP13" i="57"/>
  <c r="AD12" i="59"/>
  <c r="O10" i="57"/>
  <c r="N12" i="67"/>
  <c r="N38" i="67"/>
  <c r="L70" i="67"/>
  <c r="AK38" i="67"/>
  <c r="AQ38" i="67"/>
  <c r="K61" i="67"/>
  <c r="AQ43" i="67"/>
  <c r="AK43" i="67"/>
  <c r="AC44" i="67"/>
  <c r="BB23" i="67"/>
  <c r="AJ23" i="67"/>
  <c r="AK44" i="67"/>
  <c r="AQ44" i="67"/>
  <c r="N16" i="67"/>
  <c r="N42" i="67"/>
  <c r="L64" i="67"/>
  <c r="AK42" i="67"/>
  <c r="AQ42" i="67"/>
  <c r="L37" i="59"/>
  <c r="Y18" i="51"/>
  <c r="D153" i="53"/>
  <c r="W64" i="67"/>
  <c r="O37" i="59"/>
  <c r="G37" i="59"/>
  <c r="N37" i="59"/>
  <c r="M47" i="59"/>
  <c r="M103" i="59"/>
  <c r="H33" i="59"/>
  <c r="H30" i="59"/>
  <c r="AL31" i="59"/>
  <c r="F47" i="59"/>
  <c r="F150" i="59"/>
  <c r="P151" i="53"/>
  <c r="F158" i="53"/>
  <c r="V64" i="67"/>
  <c r="E158" i="53"/>
  <c r="H34" i="59"/>
  <c r="H35" i="59"/>
  <c r="AM43" i="59"/>
  <c r="G48" i="59"/>
  <c r="F37" i="59"/>
  <c r="AF30" i="59"/>
  <c r="E63" i="59"/>
  <c r="H368" i="60"/>
  <c r="H200" i="60"/>
  <c r="N30" i="59"/>
  <c r="AI31" i="59"/>
  <c r="G34" i="59"/>
  <c r="G33" i="59"/>
  <c r="AO125" i="67"/>
  <c r="AH101" i="67"/>
  <c r="AR100" i="67"/>
  <c r="AO101" i="67"/>
  <c r="D188" i="53"/>
  <c r="D200" i="53"/>
  <c r="H114" i="67"/>
  <c r="H112" i="67"/>
  <c r="X13" i="67"/>
  <c r="E56" i="53"/>
  <c r="E57" i="53"/>
  <c r="J55" i="53"/>
  <c r="J62" i="53"/>
  <c r="I56" i="53"/>
  <c r="D56" i="53"/>
  <c r="D193" i="53"/>
  <c r="G56" i="53"/>
  <c r="F242" i="53"/>
  <c r="F244" i="53"/>
  <c r="H90" i="67"/>
  <c r="D114" i="60"/>
  <c r="H56" i="53"/>
  <c r="F55" i="53"/>
  <c r="F62" i="53"/>
  <c r="H55" i="53"/>
  <c r="H62" i="53"/>
  <c r="D241" i="53"/>
  <c r="D125" i="53"/>
  <c r="D123" i="53"/>
  <c r="D124" i="53"/>
  <c r="D129" i="53"/>
  <c r="E59" i="53"/>
  <c r="P69" i="53"/>
  <c r="P70" i="53"/>
  <c r="P71" i="53"/>
  <c r="P73" i="53"/>
  <c r="D253" i="53"/>
  <c r="D248" i="53"/>
  <c r="D260" i="53"/>
  <c r="D242" i="53"/>
  <c r="E122" i="53"/>
  <c r="Y117" i="67"/>
  <c r="N23" i="57"/>
  <c r="J61" i="53"/>
  <c r="J63" i="53"/>
  <c r="J57" i="53"/>
  <c r="J59" i="53"/>
  <c r="E121" i="53"/>
  <c r="F121" i="53"/>
  <c r="F128" i="53"/>
  <c r="Y13" i="52"/>
  <c r="Z53" i="52"/>
  <c r="Z49" i="52"/>
  <c r="Z52" i="52"/>
  <c r="Z47" i="52"/>
  <c r="Z55" i="52"/>
  <c r="Y23" i="52"/>
  <c r="Y18" i="52"/>
  <c r="Z56" i="52"/>
  <c r="Z50" i="52"/>
  <c r="Y24" i="52"/>
  <c r="Y19" i="52"/>
  <c r="F243" i="53"/>
  <c r="G59" i="53"/>
  <c r="P134" i="53"/>
  <c r="P140" i="53"/>
  <c r="AD10" i="59"/>
  <c r="P256" i="53"/>
  <c r="Q258" i="53"/>
  <c r="P255" i="53"/>
  <c r="P257" i="53"/>
  <c r="P259" i="53"/>
  <c r="E242" i="53"/>
  <c r="F56" i="53"/>
  <c r="D55" i="53"/>
  <c r="I55" i="53"/>
  <c r="I62" i="53"/>
  <c r="F122" i="53"/>
  <c r="M48" i="59"/>
  <c r="N33" i="59"/>
  <c r="N35" i="59"/>
  <c r="BE43" i="59"/>
  <c r="BD31" i="59"/>
  <c r="N29" i="59"/>
  <c r="BA30" i="59"/>
  <c r="M37" i="59"/>
  <c r="J37" i="59"/>
  <c r="H47" i="59"/>
  <c r="H92" i="59"/>
  <c r="H37" i="59"/>
  <c r="G47" i="59"/>
  <c r="G103" i="59"/>
  <c r="F34" i="59"/>
  <c r="F33" i="59"/>
  <c r="AF31" i="59"/>
  <c r="E48" i="59"/>
  <c r="F30" i="59"/>
  <c r="F31" i="59"/>
  <c r="AG41" i="59"/>
  <c r="AO31" i="59"/>
  <c r="J34" i="59"/>
  <c r="I48" i="59"/>
  <c r="I30" i="59"/>
  <c r="M29" i="59"/>
  <c r="M34" i="59"/>
  <c r="M35" i="59"/>
  <c r="BB43" i="59"/>
  <c r="K63" i="59"/>
  <c r="K150" i="59"/>
  <c r="K161" i="59"/>
  <c r="H48" i="59"/>
  <c r="I29" i="59"/>
  <c r="I34" i="59"/>
  <c r="I35" i="59"/>
  <c r="AP43" i="59"/>
  <c r="I37" i="59"/>
  <c r="E30" i="59"/>
  <c r="E34" i="59"/>
  <c r="L48" i="59"/>
  <c r="BA31" i="59"/>
  <c r="M30" i="59"/>
  <c r="H31" i="59"/>
  <c r="AM41" i="59"/>
  <c r="O29" i="59"/>
  <c r="O30" i="59"/>
  <c r="I92" i="59"/>
  <c r="I63" i="59"/>
  <c r="I132" i="59"/>
  <c r="E29" i="59"/>
  <c r="E33" i="59"/>
  <c r="N47" i="59"/>
  <c r="N92" i="59"/>
  <c r="K74" i="59"/>
  <c r="K121" i="59"/>
  <c r="K92" i="59"/>
  <c r="J48" i="59"/>
  <c r="K34" i="59"/>
  <c r="F48" i="59"/>
  <c r="G29" i="59"/>
  <c r="G31" i="59"/>
  <c r="AJ41" i="59"/>
  <c r="L103" i="59"/>
  <c r="L92" i="59"/>
  <c r="L132" i="59"/>
  <c r="L121" i="59"/>
  <c r="L161" i="59"/>
  <c r="L74" i="59"/>
  <c r="L150" i="59"/>
  <c r="L63" i="59"/>
  <c r="K37" i="59"/>
  <c r="AU30" i="59"/>
  <c r="J29" i="59"/>
  <c r="J30" i="59"/>
  <c r="J33" i="59"/>
  <c r="I150" i="59"/>
  <c r="N48" i="59"/>
  <c r="O33" i="59"/>
  <c r="O34" i="59"/>
  <c r="AX31" i="59"/>
  <c r="L30" i="59"/>
  <c r="K48" i="59"/>
  <c r="L29" i="59"/>
  <c r="L34" i="59"/>
  <c r="L35" i="59"/>
  <c r="AY43" i="59"/>
  <c r="K132" i="59"/>
  <c r="K29" i="59"/>
  <c r="K30" i="59"/>
  <c r="K33" i="59"/>
  <c r="J132" i="59"/>
  <c r="J92" i="59"/>
  <c r="J161" i="59"/>
  <c r="J63" i="59"/>
  <c r="J103" i="59"/>
  <c r="J150" i="59"/>
  <c r="J74" i="59"/>
  <c r="J121" i="59"/>
  <c r="I74" i="59"/>
  <c r="I161" i="59"/>
  <c r="I121" i="59"/>
  <c r="E103" i="59"/>
  <c r="E161" i="59"/>
  <c r="E92" i="59"/>
  <c r="E121" i="59"/>
  <c r="E150" i="59"/>
  <c r="E74" i="59"/>
  <c r="E37" i="59"/>
  <c r="G158" i="53"/>
  <c r="G159" i="53"/>
  <c r="D158" i="53"/>
  <c r="D182" i="53"/>
  <c r="D183" i="53"/>
  <c r="D184" i="53"/>
  <c r="M161" i="59"/>
  <c r="M132" i="59"/>
  <c r="F92" i="59"/>
  <c r="F161" i="59"/>
  <c r="M92" i="59"/>
  <c r="M121" i="59"/>
  <c r="M63" i="59"/>
  <c r="E49" i="59"/>
  <c r="K50" i="59"/>
  <c r="M142" i="60"/>
  <c r="M132" i="60"/>
  <c r="F63" i="59"/>
  <c r="F121" i="59"/>
  <c r="M74" i="59"/>
  <c r="M150" i="59"/>
  <c r="F103" i="59"/>
  <c r="F74" i="59"/>
  <c r="F132" i="59"/>
  <c r="H63" i="59"/>
  <c r="E182" i="53"/>
  <c r="E159" i="53"/>
  <c r="F182" i="53"/>
  <c r="F159" i="53"/>
  <c r="P158" i="53"/>
  <c r="V63" i="67"/>
  <c r="G121" i="59"/>
  <c r="G35" i="59"/>
  <c r="AJ43" i="59"/>
  <c r="N31" i="59"/>
  <c r="BE41" i="59"/>
  <c r="F35" i="59"/>
  <c r="AG43" i="59"/>
  <c r="M31" i="59"/>
  <c r="BB41" i="59"/>
  <c r="H103" i="59"/>
  <c r="G150" i="59"/>
  <c r="D59" i="53"/>
  <c r="D61" i="53"/>
  <c r="D57" i="53"/>
  <c r="D68" i="53"/>
  <c r="BC112" i="67"/>
  <c r="E61" i="53"/>
  <c r="H59" i="53"/>
  <c r="H61" i="53"/>
  <c r="H63" i="53"/>
  <c r="H57" i="53"/>
  <c r="D58" i="53"/>
  <c r="D60" i="53"/>
  <c r="E58" i="53"/>
  <c r="I59" i="53"/>
  <c r="I61" i="53"/>
  <c r="I57" i="53"/>
  <c r="F245" i="53"/>
  <c r="F246" i="53"/>
  <c r="F247" i="53"/>
  <c r="F249" i="53"/>
  <c r="I63" i="53"/>
  <c r="G57" i="53"/>
  <c r="G58" i="53"/>
  <c r="G60" i="53"/>
  <c r="G61" i="53"/>
  <c r="G63" i="53"/>
  <c r="Y141" i="67"/>
  <c r="Y93" i="67"/>
  <c r="D69" i="53"/>
  <c r="D62" i="53"/>
  <c r="D67" i="53"/>
  <c r="Y119" i="67"/>
  <c r="Y95" i="67"/>
  <c r="Y143" i="67"/>
  <c r="N25" i="57"/>
  <c r="P72" i="53"/>
  <c r="F57" i="53"/>
  <c r="F58" i="53"/>
  <c r="F61" i="53"/>
  <c r="F63" i="53"/>
  <c r="F59" i="53"/>
  <c r="P258" i="53"/>
  <c r="P137" i="53"/>
  <c r="Q138" i="53"/>
  <c r="P139" i="53"/>
  <c r="P135" i="53"/>
  <c r="P136" i="53"/>
  <c r="E128" i="53"/>
  <c r="D140" i="53"/>
  <c r="D133" i="53"/>
  <c r="P117" i="67"/>
  <c r="AH117" i="67"/>
  <c r="AJ16" i="67"/>
  <c r="P93" i="67"/>
  <c r="P141" i="67"/>
  <c r="E123" i="53"/>
  <c r="E127" i="53"/>
  <c r="E125" i="53"/>
  <c r="P75" i="53"/>
  <c r="AC9" i="59"/>
  <c r="AE9" i="59"/>
  <c r="E60" i="53"/>
  <c r="D126" i="53"/>
  <c r="F123" i="53"/>
  <c r="F124" i="53"/>
  <c r="F125" i="53"/>
  <c r="F127" i="53"/>
  <c r="F129" i="53"/>
  <c r="E243" i="53"/>
  <c r="E244" i="53"/>
  <c r="E247" i="53"/>
  <c r="E249" i="53"/>
  <c r="E245" i="53"/>
  <c r="AO117" i="67"/>
  <c r="E63" i="53"/>
  <c r="P261" i="53"/>
  <c r="AC12" i="59"/>
  <c r="AE12" i="59"/>
  <c r="Z60" i="52"/>
  <c r="Z61" i="52" s="1"/>
  <c r="Z58" i="52"/>
  <c r="J60" i="53"/>
  <c r="J58" i="53"/>
  <c r="D254" i="53"/>
  <c r="D244" i="53"/>
  <c r="D247" i="53"/>
  <c r="D243" i="53"/>
  <c r="D245" i="53"/>
  <c r="D134" i="53"/>
  <c r="O31" i="59"/>
  <c r="BH41" i="59"/>
  <c r="J35" i="59"/>
  <c r="AS43" i="59"/>
  <c r="H121" i="59"/>
  <c r="H132" i="59"/>
  <c r="H150" i="59"/>
  <c r="H161" i="59"/>
  <c r="H74" i="59"/>
  <c r="G132" i="59"/>
  <c r="G74" i="59"/>
  <c r="G92" i="59"/>
  <c r="G161" i="59"/>
  <c r="G63" i="59"/>
  <c r="E35" i="59"/>
  <c r="AD43" i="59"/>
  <c r="I31" i="59"/>
  <c r="AP41" i="59"/>
  <c r="E31" i="59"/>
  <c r="AD41" i="59"/>
  <c r="L31" i="59"/>
  <c r="AY41" i="59"/>
  <c r="N132" i="59"/>
  <c r="K35" i="59"/>
  <c r="AV43" i="59"/>
  <c r="N63" i="59"/>
  <c r="N150" i="59"/>
  <c r="N103" i="59"/>
  <c r="N121" i="59"/>
  <c r="N74" i="59"/>
  <c r="N161" i="59"/>
  <c r="O35" i="59"/>
  <c r="BH43" i="59"/>
  <c r="J31" i="59"/>
  <c r="AS41" i="59"/>
  <c r="K31" i="59"/>
  <c r="AV41" i="59"/>
  <c r="D187" i="53"/>
  <c r="D159" i="53"/>
  <c r="P171" i="53"/>
  <c r="D185" i="53"/>
  <c r="D186" i="53"/>
  <c r="G182" i="53"/>
  <c r="D170" i="53"/>
  <c r="G12" i="57"/>
  <c r="N15" i="67"/>
  <c r="N41" i="67"/>
  <c r="K64" i="67"/>
  <c r="J108" i="59"/>
  <c r="L310" i="60"/>
  <c r="L298" i="60"/>
  <c r="M108" i="59"/>
  <c r="O310" i="60"/>
  <c r="O298" i="60"/>
  <c r="E137" i="59"/>
  <c r="G395" i="60"/>
  <c r="G383" i="60"/>
  <c r="F50" i="59"/>
  <c r="I50" i="59"/>
  <c r="K142" i="60"/>
  <c r="K132" i="60"/>
  <c r="E79" i="59"/>
  <c r="G227" i="60"/>
  <c r="G215" i="60"/>
  <c r="L137" i="59"/>
  <c r="N395" i="60"/>
  <c r="N383" i="60"/>
  <c r="I108" i="59"/>
  <c r="O137" i="59"/>
  <c r="Q395" i="60"/>
  <c r="Q383" i="60"/>
  <c r="H50" i="59"/>
  <c r="J142" i="60"/>
  <c r="J132" i="60"/>
  <c r="L50" i="59"/>
  <c r="N142" i="60"/>
  <c r="N132" i="60"/>
  <c r="N108" i="59"/>
  <c r="P310" i="60"/>
  <c r="P298" i="60"/>
  <c r="H108" i="59"/>
  <c r="J310" i="60"/>
  <c r="J298" i="60"/>
  <c r="F79" i="59"/>
  <c r="H227" i="60"/>
  <c r="H215" i="60"/>
  <c r="G50" i="59"/>
  <c r="I142" i="60"/>
  <c r="I132" i="60"/>
  <c r="H79" i="59"/>
  <c r="J227" i="60"/>
  <c r="J215" i="60"/>
  <c r="J50" i="59"/>
  <c r="L142" i="60"/>
  <c r="L132" i="60"/>
  <c r="J137" i="59"/>
  <c r="L395" i="60"/>
  <c r="L383" i="60"/>
  <c r="F137" i="59"/>
  <c r="M79" i="59"/>
  <c r="O227" i="60"/>
  <c r="O215" i="60"/>
  <c r="M50" i="59"/>
  <c r="O142" i="60"/>
  <c r="O132" i="60"/>
  <c r="O108" i="59"/>
  <c r="Q310" i="60"/>
  <c r="Q298" i="60"/>
  <c r="I79" i="59"/>
  <c r="K227" i="60"/>
  <c r="K215" i="60"/>
  <c r="N137" i="59"/>
  <c r="P395" i="60"/>
  <c r="P383" i="60"/>
  <c r="G108" i="59"/>
  <c r="I310" i="60"/>
  <c r="I298" i="60"/>
  <c r="E50" i="59"/>
  <c r="G142" i="60"/>
  <c r="G132" i="60"/>
  <c r="L108" i="59"/>
  <c r="N310" i="60"/>
  <c r="N298" i="60"/>
  <c r="M137" i="59"/>
  <c r="O395" i="60"/>
  <c r="O383" i="60"/>
  <c r="E108" i="59"/>
  <c r="G310" i="60"/>
  <c r="G298" i="60"/>
  <c r="N79" i="59"/>
  <c r="P227" i="60"/>
  <c r="P215" i="60"/>
  <c r="F108" i="59"/>
  <c r="H310" i="60"/>
  <c r="H298" i="60"/>
  <c r="L79" i="59"/>
  <c r="N227" i="60"/>
  <c r="N215" i="60"/>
  <c r="O79" i="59"/>
  <c r="Q227" i="60"/>
  <c r="Q215" i="60"/>
  <c r="G137" i="59"/>
  <c r="I395" i="60"/>
  <c r="I383" i="60"/>
  <c r="G79" i="59"/>
  <c r="I227" i="60"/>
  <c r="I215" i="60"/>
  <c r="H137" i="59"/>
  <c r="J395" i="60"/>
  <c r="J383" i="60"/>
  <c r="N50" i="59"/>
  <c r="P142" i="60"/>
  <c r="P132" i="60"/>
  <c r="J79" i="59"/>
  <c r="L227" i="60"/>
  <c r="L215" i="60"/>
  <c r="K108" i="59"/>
  <c r="M310" i="60"/>
  <c r="M298" i="60"/>
  <c r="O50" i="59"/>
  <c r="Q142" i="60"/>
  <c r="Q132" i="60"/>
  <c r="I137" i="59"/>
  <c r="K395" i="60"/>
  <c r="K383" i="60"/>
  <c r="K79" i="59"/>
  <c r="M227" i="60"/>
  <c r="M215" i="60"/>
  <c r="K137" i="59"/>
  <c r="M395" i="60"/>
  <c r="M383" i="60"/>
  <c r="AH79" i="59"/>
  <c r="P159" i="53"/>
  <c r="P170" i="53"/>
  <c r="F183" i="53"/>
  <c r="F184" i="53"/>
  <c r="F185" i="53"/>
  <c r="F187" i="53"/>
  <c r="F189" i="53"/>
  <c r="O12" i="57"/>
  <c r="D171" i="53"/>
  <c r="E185" i="53"/>
  <c r="E183" i="53"/>
  <c r="E184" i="53"/>
  <c r="E187" i="53"/>
  <c r="E189" i="53"/>
  <c r="E72" i="53"/>
  <c r="BC136" i="67"/>
  <c r="BG136" i="67"/>
  <c r="Y136" i="67"/>
  <c r="G20" i="57"/>
  <c r="D71" i="53"/>
  <c r="D73" i="53"/>
  <c r="G19" i="57"/>
  <c r="D189" i="53"/>
  <c r="I58" i="53"/>
  <c r="I60" i="53"/>
  <c r="H58" i="53"/>
  <c r="H60" i="53"/>
  <c r="AH93" i="67"/>
  <c r="AO93" i="67"/>
  <c r="Y139" i="67"/>
  <c r="Y91" i="67"/>
  <c r="Y115" i="67"/>
  <c r="N21" i="57"/>
  <c r="AX88" i="67"/>
  <c r="AX112" i="67"/>
  <c r="AX136" i="67"/>
  <c r="BH136" i="67"/>
  <c r="BH112" i="67"/>
  <c r="AX11" i="67"/>
  <c r="G26" i="57"/>
  <c r="BC94" i="67"/>
  <c r="D257" i="53"/>
  <c r="BC118" i="67"/>
  <c r="D255" i="53"/>
  <c r="E258" i="53"/>
  <c r="BC142" i="67"/>
  <c r="BC88" i="67"/>
  <c r="BH88" i="67"/>
  <c r="D135" i="53"/>
  <c r="BC90" i="67"/>
  <c r="G21" i="57"/>
  <c r="BC114" i="67"/>
  <c r="D137" i="53"/>
  <c r="G22" i="57"/>
  <c r="D136" i="53"/>
  <c r="E138" i="53"/>
  <c r="BC138" i="67"/>
  <c r="D246" i="53"/>
  <c r="F26" i="59"/>
  <c r="O26" i="59"/>
  <c r="N26" i="59"/>
  <c r="G26" i="59"/>
  <c r="J26" i="59"/>
  <c r="M26" i="59"/>
  <c r="I26" i="59"/>
  <c r="L26" i="59"/>
  <c r="E26" i="59"/>
  <c r="H26" i="59"/>
  <c r="K26" i="59"/>
  <c r="N14" i="59"/>
  <c r="F14" i="59"/>
  <c r="O14" i="59"/>
  <c r="G14" i="59"/>
  <c r="J14" i="59"/>
  <c r="I14" i="59"/>
  <c r="H14" i="59"/>
  <c r="M14" i="59"/>
  <c r="E14" i="59"/>
  <c r="L14" i="59"/>
  <c r="K14" i="59"/>
  <c r="E129" i="53"/>
  <c r="D141" i="53"/>
  <c r="D139" i="53"/>
  <c r="P138" i="53"/>
  <c r="D63" i="53"/>
  <c r="D75" i="53"/>
  <c r="D74" i="53"/>
  <c r="AO112" i="67"/>
  <c r="BD112" i="67"/>
  <c r="BE112" i="67"/>
  <c r="BF112" i="67"/>
  <c r="BG112" i="67"/>
  <c r="Y112" i="67"/>
  <c r="D259" i="53"/>
  <c r="D249" i="53"/>
  <c r="D261" i="53"/>
  <c r="E246" i="53"/>
  <c r="F126" i="53"/>
  <c r="P141" i="53"/>
  <c r="AC10" i="59"/>
  <c r="AE10" i="59"/>
  <c r="F60" i="53"/>
  <c r="D70" i="53"/>
  <c r="E124" i="53"/>
  <c r="E126" i="53"/>
  <c r="AH141" i="67"/>
  <c r="AO141" i="67"/>
  <c r="D138" i="53"/>
  <c r="P143" i="67"/>
  <c r="AH143" i="67"/>
  <c r="P95" i="67"/>
  <c r="AH95" i="67"/>
  <c r="AJ18" i="67"/>
  <c r="P119" i="67"/>
  <c r="AH119" i="67"/>
  <c r="BD136" i="67"/>
  <c r="BF136" i="67"/>
  <c r="AO136" i="67"/>
  <c r="AH54" i="59"/>
  <c r="AG54" i="59"/>
  <c r="G185" i="53"/>
  <c r="G187" i="53"/>
  <c r="G189" i="53"/>
  <c r="G183" i="53"/>
  <c r="D194" i="53"/>
  <c r="F186" i="53"/>
  <c r="D199" i="53"/>
  <c r="E186" i="53"/>
  <c r="H133" i="59"/>
  <c r="O76" i="59"/>
  <c r="E76" i="59"/>
  <c r="N76" i="59"/>
  <c r="M133" i="59"/>
  <c r="E134" i="59"/>
  <c r="L163" i="59"/>
  <c r="K310" i="60"/>
  <c r="K298" i="60"/>
  <c r="F133" i="59"/>
  <c r="G134" i="59"/>
  <c r="G162" i="59"/>
  <c r="G187" i="59" s="1"/>
  <c r="H75" i="59"/>
  <c r="K75" i="59"/>
  <c r="L134" i="59"/>
  <c r="H142" i="60"/>
  <c r="H132" i="60"/>
  <c r="F134" i="59"/>
  <c r="J163" i="59"/>
  <c r="K76" i="59"/>
  <c r="K178" i="59" s="1"/>
  <c r="F163" i="59"/>
  <c r="N75" i="59"/>
  <c r="AE79" i="59"/>
  <c r="K133" i="59"/>
  <c r="K184" i="59" s="1"/>
  <c r="N134" i="59"/>
  <c r="O162" i="59"/>
  <c r="J75" i="59"/>
  <c r="I133" i="59"/>
  <c r="I184" i="59" s="1"/>
  <c r="G76" i="59"/>
  <c r="L75" i="59"/>
  <c r="G75" i="59"/>
  <c r="F75" i="59"/>
  <c r="F178" i="59" s="1"/>
  <c r="J76" i="59"/>
  <c r="K134" i="59"/>
  <c r="I75" i="59"/>
  <c r="J133" i="59"/>
  <c r="J184" i="59" s="1"/>
  <c r="M75" i="59"/>
  <c r="I134" i="59"/>
  <c r="H395" i="60"/>
  <c r="H383" i="60"/>
  <c r="M76" i="59"/>
  <c r="H105" i="59"/>
  <c r="H134" i="59"/>
  <c r="I76" i="59"/>
  <c r="I178" i="59" s="1"/>
  <c r="O133" i="59"/>
  <c r="L133" i="59"/>
  <c r="F76" i="59"/>
  <c r="J134" i="59"/>
  <c r="N133" i="59"/>
  <c r="E75" i="59"/>
  <c r="E178" i="59" s="1"/>
  <c r="E179" i="59" s="1"/>
  <c r="O134" i="59"/>
  <c r="G133" i="59"/>
  <c r="H76" i="59"/>
  <c r="O75" i="59"/>
  <c r="L76" i="59"/>
  <c r="E133" i="59"/>
  <c r="E184" i="59" s="1"/>
  <c r="E185" i="59" s="1"/>
  <c r="M134" i="59"/>
  <c r="K163" i="59"/>
  <c r="G163" i="59"/>
  <c r="J162" i="59"/>
  <c r="J187" i="59" s="1"/>
  <c r="I162" i="59"/>
  <c r="M163" i="59"/>
  <c r="I163" i="59"/>
  <c r="E163" i="59"/>
  <c r="E164" i="59" s="1"/>
  <c r="F164" i="59" s="1"/>
  <c r="G164" i="59" s="1"/>
  <c r="H164" i="59" s="1"/>
  <c r="I164" i="59" s="1"/>
  <c r="J164" i="59" s="1"/>
  <c r="K164" i="59" s="1"/>
  <c r="L164" i="59" s="1"/>
  <c r="M164" i="59" s="1"/>
  <c r="N164" i="59" s="1"/>
  <c r="O164" i="59" s="1"/>
  <c r="H162" i="59"/>
  <c r="H163" i="59"/>
  <c r="M162" i="59"/>
  <c r="N162" i="59"/>
  <c r="N187" i="59" s="1"/>
  <c r="F162" i="59"/>
  <c r="O163" i="59"/>
  <c r="N163" i="59"/>
  <c r="K162" i="59"/>
  <c r="K187" i="59" s="1"/>
  <c r="L162" i="59"/>
  <c r="E162" i="59"/>
  <c r="N104" i="59"/>
  <c r="O105" i="59"/>
  <c r="O181" i="59" s="1"/>
  <c r="O104" i="59"/>
  <c r="K105" i="59"/>
  <c r="J104" i="59"/>
  <c r="K104" i="59"/>
  <c r="M105" i="59"/>
  <c r="G105" i="59"/>
  <c r="L105" i="59"/>
  <c r="I104" i="59"/>
  <c r="I105" i="59"/>
  <c r="N105" i="59"/>
  <c r="F104" i="59"/>
  <c r="H104" i="59"/>
  <c r="H181" i="59" s="1"/>
  <c r="E105" i="59"/>
  <c r="G104" i="59"/>
  <c r="G181" i="59" s="1"/>
  <c r="J105" i="59"/>
  <c r="J181" i="59" s="1"/>
  <c r="F105" i="59"/>
  <c r="F181" i="59" s="1"/>
  <c r="F182" i="59" s="1"/>
  <c r="E104" i="59"/>
  <c r="E181" i="59" s="1"/>
  <c r="E182" i="59" s="1"/>
  <c r="L104" i="59"/>
  <c r="L181" i="59" s="1"/>
  <c r="M104" i="59"/>
  <c r="M181" i="59" s="1"/>
  <c r="D201" i="53"/>
  <c r="Z12" i="57"/>
  <c r="P194" i="53"/>
  <c r="BE136" i="67"/>
  <c r="D72" i="53"/>
  <c r="BL88" i="67"/>
  <c r="AH88" i="67"/>
  <c r="BK88" i="67"/>
  <c r="BI88" i="67"/>
  <c r="BJ88" i="67"/>
  <c r="N18" i="59"/>
  <c r="F18" i="59"/>
  <c r="G18" i="59"/>
  <c r="E18" i="59"/>
  <c r="J18" i="59"/>
  <c r="H18" i="59"/>
  <c r="L18" i="59"/>
  <c r="O18" i="59"/>
  <c r="K18" i="59"/>
  <c r="M18" i="59"/>
  <c r="I18" i="59"/>
  <c r="BH142" i="67"/>
  <c r="BH118" i="67"/>
  <c r="AX17" i="67"/>
  <c r="AX94" i="67"/>
  <c r="T25" i="57"/>
  <c r="BH94" i="67"/>
  <c r="AX118" i="67"/>
  <c r="AX142" i="67"/>
  <c r="AY136" i="67"/>
  <c r="AZ136" i="67"/>
  <c r="BA136" i="67"/>
  <c r="BB136" i="67"/>
  <c r="P136" i="67"/>
  <c r="Y89" i="67"/>
  <c r="Y113" i="67"/>
  <c r="N19" i="57"/>
  <c r="Y137" i="67"/>
  <c r="AX90" i="67"/>
  <c r="BH90" i="67"/>
  <c r="BH138" i="67"/>
  <c r="AX13" i="67"/>
  <c r="AX114" i="67"/>
  <c r="T21" i="57"/>
  <c r="BH114" i="67"/>
  <c r="AX138" i="67"/>
  <c r="BF90" i="67"/>
  <c r="BG90" i="67"/>
  <c r="Y90" i="67"/>
  <c r="BD90" i="67"/>
  <c r="BE90" i="67"/>
  <c r="AO90" i="67"/>
  <c r="AO142" i="67"/>
  <c r="BD142" i="67"/>
  <c r="BE142" i="67"/>
  <c r="BG142" i="67"/>
  <c r="Y142" i="67"/>
  <c r="BF142" i="67"/>
  <c r="BF118" i="67"/>
  <c r="AO118" i="67"/>
  <c r="BD118" i="67"/>
  <c r="BE118" i="67"/>
  <c r="BK112" i="67"/>
  <c r="BI112" i="67"/>
  <c r="BJ112" i="67"/>
  <c r="BL112" i="67"/>
  <c r="AH112" i="67"/>
  <c r="BA112" i="67"/>
  <c r="AY112" i="67"/>
  <c r="AZ112" i="67"/>
  <c r="BB112" i="67"/>
  <c r="P112" i="67"/>
  <c r="P139" i="67"/>
  <c r="AH139" i="67"/>
  <c r="AJ14" i="67"/>
  <c r="P91" i="67"/>
  <c r="AH91" i="67"/>
  <c r="P115" i="67"/>
  <c r="AH115" i="67"/>
  <c r="AO119" i="67"/>
  <c r="AO138" i="67"/>
  <c r="BD138" i="67"/>
  <c r="BE138" i="67"/>
  <c r="BF138" i="67"/>
  <c r="BG138" i="67"/>
  <c r="Y138" i="67"/>
  <c r="D256" i="53"/>
  <c r="D258" i="53"/>
  <c r="G25" i="57"/>
  <c r="BB88" i="67"/>
  <c r="P88" i="67"/>
  <c r="AY88" i="67"/>
  <c r="AZ88" i="67"/>
  <c r="BA88" i="67"/>
  <c r="AO115" i="67"/>
  <c r="AO95" i="67"/>
  <c r="BD114" i="67"/>
  <c r="BE114" i="67"/>
  <c r="BG114" i="67"/>
  <c r="Y114" i="67"/>
  <c r="BF114" i="67"/>
  <c r="AO114" i="67"/>
  <c r="BF88" i="67"/>
  <c r="BG88" i="67"/>
  <c r="Y88" i="67"/>
  <c r="BD88" i="67"/>
  <c r="BE88" i="67"/>
  <c r="AO88" i="67"/>
  <c r="BD94" i="67"/>
  <c r="BE94" i="67"/>
  <c r="BF94" i="67"/>
  <c r="AO94" i="67"/>
  <c r="BA11" i="67"/>
  <c r="CA12" i="67"/>
  <c r="BB11" i="67"/>
  <c r="AJ11" i="67"/>
  <c r="AY11" i="67"/>
  <c r="AZ11" i="67"/>
  <c r="CA11" i="67"/>
  <c r="BI136" i="67"/>
  <c r="BJ136" i="67"/>
  <c r="BL136" i="67"/>
  <c r="AH136" i="67"/>
  <c r="BK136" i="67"/>
  <c r="AO143" i="67"/>
  <c r="G24" i="57"/>
  <c r="E198" i="53"/>
  <c r="D197" i="53"/>
  <c r="D195" i="53"/>
  <c r="G184" i="53"/>
  <c r="G186" i="53"/>
  <c r="H184" i="59"/>
  <c r="O178" i="59"/>
  <c r="L184" i="59"/>
  <c r="L187" i="59"/>
  <c r="G178" i="59"/>
  <c r="J178" i="59"/>
  <c r="N184" i="59"/>
  <c r="M184" i="59"/>
  <c r="H178" i="59"/>
  <c r="G184" i="59"/>
  <c r="F184" i="59"/>
  <c r="I187" i="59"/>
  <c r="O184" i="59"/>
  <c r="E187" i="59"/>
  <c r="E188" i="59" s="1"/>
  <c r="F188" i="59" s="1"/>
  <c r="F187" i="59"/>
  <c r="H187" i="59"/>
  <c r="M178" i="59"/>
  <c r="E135" i="59"/>
  <c r="F135" i="59" s="1"/>
  <c r="G135" i="59" s="1"/>
  <c r="H135" i="59" s="1"/>
  <c r="I135" i="59" s="1"/>
  <c r="J135" i="59" s="1"/>
  <c r="K135" i="59" s="1"/>
  <c r="L135" i="59" s="1"/>
  <c r="M135" i="59" s="1"/>
  <c r="N135" i="59" s="1"/>
  <c r="O135" i="59" s="1"/>
  <c r="O187" i="59"/>
  <c r="L178" i="59"/>
  <c r="E77" i="59"/>
  <c r="F77" i="59" s="1"/>
  <c r="G77" i="59" s="1"/>
  <c r="H77" i="59" s="1"/>
  <c r="I77" i="59" s="1"/>
  <c r="J77" i="59" s="1"/>
  <c r="K77" i="59" s="1"/>
  <c r="L77" i="59" s="1"/>
  <c r="M77" i="59" s="1"/>
  <c r="N77" i="59" s="1"/>
  <c r="O77" i="59" s="1"/>
  <c r="M187" i="59"/>
  <c r="E106" i="59"/>
  <c r="P197" i="53"/>
  <c r="P195" i="53"/>
  <c r="Q198" i="53"/>
  <c r="P199" i="53"/>
  <c r="Q200" i="53"/>
  <c r="P196" i="53"/>
  <c r="BC140" i="67"/>
  <c r="BC116" i="67"/>
  <c r="BC92" i="67"/>
  <c r="AD12" i="57"/>
  <c r="AC41" i="67"/>
  <c r="AP12" i="57"/>
  <c r="BG118" i="67"/>
  <c r="Y118" i="67"/>
  <c r="AO91" i="67"/>
  <c r="BG94" i="67"/>
  <c r="Y94" i="67"/>
  <c r="I17" i="59"/>
  <c r="I19" i="59"/>
  <c r="AP35" i="59"/>
  <c r="G17" i="59"/>
  <c r="G19" i="59"/>
  <c r="AJ35" i="59"/>
  <c r="E16" i="59"/>
  <c r="N17" i="59"/>
  <c r="N19" i="59"/>
  <c r="BE35" i="59"/>
  <c r="L17" i="59"/>
  <c r="L19" i="59"/>
  <c r="AY35" i="59"/>
  <c r="F17" i="59"/>
  <c r="F19" i="59"/>
  <c r="AG35" i="59"/>
  <c r="H17" i="59"/>
  <c r="H19" i="59"/>
  <c r="AM35" i="59"/>
  <c r="K17" i="59"/>
  <c r="K19" i="59"/>
  <c r="AV35" i="59"/>
  <c r="E17" i="59"/>
  <c r="E19" i="59"/>
  <c r="AD35" i="59"/>
  <c r="O17" i="59"/>
  <c r="M17" i="59"/>
  <c r="M19" i="59"/>
  <c r="BB35" i="59"/>
  <c r="J17" i="59"/>
  <c r="J19" i="59"/>
  <c r="AS35" i="59"/>
  <c r="BK90" i="67"/>
  <c r="BL90" i="67"/>
  <c r="AH90" i="67"/>
  <c r="BI90" i="67"/>
  <c r="BJ90" i="67"/>
  <c r="AR90" i="67"/>
  <c r="BA118" i="67"/>
  <c r="AY118" i="67"/>
  <c r="AZ118" i="67"/>
  <c r="BB118" i="67"/>
  <c r="P118" i="67"/>
  <c r="CA18" i="67"/>
  <c r="CA17" i="67"/>
  <c r="BA17" i="67"/>
  <c r="AY17" i="67"/>
  <c r="BB114" i="67"/>
  <c r="P114" i="67"/>
  <c r="BA114" i="67"/>
  <c r="AY114" i="67"/>
  <c r="AZ114" i="67"/>
  <c r="BA90" i="67"/>
  <c r="BB90" i="67"/>
  <c r="P90" i="67"/>
  <c r="AY90" i="67"/>
  <c r="AZ90" i="67"/>
  <c r="AR94" i="67"/>
  <c r="BI94" i="67"/>
  <c r="BJ94" i="67"/>
  <c r="BL94" i="67"/>
  <c r="AH94" i="67"/>
  <c r="BK94" i="67"/>
  <c r="BK118" i="67"/>
  <c r="BL118" i="67"/>
  <c r="AH118" i="67"/>
  <c r="BI118" i="67"/>
  <c r="BJ118" i="67"/>
  <c r="AR118" i="67"/>
  <c r="AY138" i="67"/>
  <c r="AZ138" i="67"/>
  <c r="BA138" i="67"/>
  <c r="BB138" i="67"/>
  <c r="P138" i="67"/>
  <c r="AZ13" i="67"/>
  <c r="CA14" i="67"/>
  <c r="BB13" i="67"/>
  <c r="AJ13" i="67"/>
  <c r="AY13" i="67"/>
  <c r="BA13" i="67"/>
  <c r="CA13" i="67"/>
  <c r="AO139" i="67"/>
  <c r="G25" i="59"/>
  <c r="G27" i="59"/>
  <c r="AJ39" i="59"/>
  <c r="F25" i="59"/>
  <c r="F27" i="59"/>
  <c r="AG39" i="59"/>
  <c r="N25" i="59"/>
  <c r="N27" i="59"/>
  <c r="BE39" i="59"/>
  <c r="E24" i="59"/>
  <c r="K25" i="59"/>
  <c r="K27" i="59"/>
  <c r="AV39" i="59"/>
  <c r="J25" i="59"/>
  <c r="J27" i="59"/>
  <c r="AS39" i="59"/>
  <c r="O25" i="59"/>
  <c r="O27" i="59"/>
  <c r="BH39" i="59"/>
  <c r="M25" i="59"/>
  <c r="M27" i="59"/>
  <c r="BB39" i="59"/>
  <c r="I25" i="59"/>
  <c r="I27" i="59"/>
  <c r="AP39" i="59"/>
  <c r="L25" i="59"/>
  <c r="L27" i="59"/>
  <c r="AY39" i="59"/>
  <c r="H25" i="59"/>
  <c r="H27" i="59"/>
  <c r="AM39" i="59"/>
  <c r="E25" i="59"/>
  <c r="E27" i="59"/>
  <c r="AD39" i="59"/>
  <c r="AR142" i="67"/>
  <c r="BI142" i="67"/>
  <c r="BJ142" i="67"/>
  <c r="BL142" i="67"/>
  <c r="AH142" i="67"/>
  <c r="BK142" i="67"/>
  <c r="BK114" i="67"/>
  <c r="AR114" i="67"/>
  <c r="BI114" i="67"/>
  <c r="BJ114" i="67"/>
  <c r="BL114" i="67"/>
  <c r="AH114" i="67"/>
  <c r="BL138" i="67"/>
  <c r="AH138" i="67"/>
  <c r="BI138" i="67"/>
  <c r="AR138" i="67"/>
  <c r="BJ138" i="67"/>
  <c r="BK138" i="67"/>
  <c r="P137" i="67"/>
  <c r="AH137" i="67"/>
  <c r="AR136" i="67"/>
  <c r="P89" i="67"/>
  <c r="AH89" i="67"/>
  <c r="AR88" i="67"/>
  <c r="P113" i="67"/>
  <c r="AH113" i="67"/>
  <c r="AR112" i="67"/>
  <c r="AJ12" i="67"/>
  <c r="AJ26" i="67"/>
  <c r="N37" i="57"/>
  <c r="T19" i="57"/>
  <c r="AY142" i="67"/>
  <c r="AZ142" i="67"/>
  <c r="BB142" i="67"/>
  <c r="P142" i="67"/>
  <c r="BA142" i="67"/>
  <c r="AY94" i="67"/>
  <c r="BA94" i="67"/>
  <c r="AZ94" i="67"/>
  <c r="BB94" i="67"/>
  <c r="P94" i="67"/>
  <c r="O19" i="59"/>
  <c r="BH35" i="59"/>
  <c r="D196" i="53"/>
  <c r="D198" i="53"/>
  <c r="G23" i="57"/>
  <c r="AX15" i="67"/>
  <c r="AX92" i="67"/>
  <c r="AX140" i="67"/>
  <c r="T23" i="57"/>
  <c r="G33" i="57"/>
  <c r="AX116" i="67"/>
  <c r="BF116" i="67"/>
  <c r="AO116" i="67"/>
  <c r="BC126" i="67"/>
  <c r="BD116" i="67"/>
  <c r="BE116" i="67"/>
  <c r="BH116" i="67"/>
  <c r="P201" i="53"/>
  <c r="AC11" i="59"/>
  <c r="AE11" i="59"/>
  <c r="P198" i="53"/>
  <c r="AQ41" i="67"/>
  <c r="M63" i="67"/>
  <c r="AK41" i="67"/>
  <c r="AO140" i="67"/>
  <c r="BF140" i="67"/>
  <c r="BD140" i="67"/>
  <c r="BE140" i="67"/>
  <c r="BC150" i="67"/>
  <c r="BH140" i="67"/>
  <c r="BF92" i="67"/>
  <c r="BD92" i="67"/>
  <c r="BH92" i="67"/>
  <c r="AO92" i="67"/>
  <c r="BC102" i="67"/>
  <c r="AZ17" i="67"/>
  <c r="BB17" i="67"/>
  <c r="AJ17" i="67"/>
  <c r="AF54" i="59"/>
  <c r="F24" i="59"/>
  <c r="AC38" i="59"/>
  <c r="AD54" i="59"/>
  <c r="G13" i="59"/>
  <c r="G15" i="59"/>
  <c r="AJ33" i="59"/>
  <c r="F13" i="59"/>
  <c r="F15" i="59"/>
  <c r="AG33" i="59"/>
  <c r="E12" i="59"/>
  <c r="T37" i="57"/>
  <c r="M13" i="59"/>
  <c r="M15" i="59"/>
  <c r="BB33" i="59"/>
  <c r="E13" i="59"/>
  <c r="E15" i="59"/>
  <c r="AD33" i="59"/>
  <c r="L13" i="59"/>
  <c r="L15" i="59"/>
  <c r="AY33" i="59"/>
  <c r="H13" i="59"/>
  <c r="H15" i="59"/>
  <c r="AM33" i="59"/>
  <c r="N13" i="59"/>
  <c r="N15" i="59"/>
  <c r="BE33" i="59"/>
  <c r="J13" i="59"/>
  <c r="J15" i="59"/>
  <c r="AS33" i="59"/>
  <c r="I13" i="59"/>
  <c r="I15" i="59"/>
  <c r="AP33" i="59"/>
  <c r="O13" i="59"/>
  <c r="O15" i="59"/>
  <c r="BH33" i="59"/>
  <c r="K13" i="59"/>
  <c r="K15" i="59"/>
  <c r="AV33" i="59"/>
  <c r="AO137" i="67"/>
  <c r="F16" i="59"/>
  <c r="AC34" i="59"/>
  <c r="AO89" i="67"/>
  <c r="AO113" i="67"/>
  <c r="G36" i="57"/>
  <c r="AX126" i="67"/>
  <c r="G34" i="57"/>
  <c r="G35" i="57"/>
  <c r="G37" i="57"/>
  <c r="AX102" i="67"/>
  <c r="AX150" i="67"/>
  <c r="AX25" i="67"/>
  <c r="CA15" i="67"/>
  <c r="AY15" i="67"/>
  <c r="BA15" i="67"/>
  <c r="CA16" i="67"/>
  <c r="N21" i="59"/>
  <c r="J21" i="59"/>
  <c r="G21" i="59"/>
  <c r="H21" i="59"/>
  <c r="F21" i="59"/>
  <c r="E21" i="59"/>
  <c r="E20" i="59"/>
  <c r="K21" i="59"/>
  <c r="L21" i="59"/>
  <c r="O21" i="59"/>
  <c r="M21" i="59"/>
  <c r="I21" i="59"/>
  <c r="AY140" i="67"/>
  <c r="AZ140" i="67"/>
  <c r="BA140" i="67"/>
  <c r="AY116" i="67"/>
  <c r="BA116" i="67"/>
  <c r="AY92" i="67"/>
  <c r="BA92" i="67"/>
  <c r="BD150" i="67"/>
  <c r="BE150" i="67"/>
  <c r="BF150" i="67"/>
  <c r="AO150" i="67"/>
  <c r="BH150" i="67"/>
  <c r="AR92" i="67"/>
  <c r="BI92" i="67"/>
  <c r="BK92" i="67"/>
  <c r="BG140" i="67"/>
  <c r="Y140" i="67"/>
  <c r="F22" i="59"/>
  <c r="M22" i="59"/>
  <c r="M23" i="59"/>
  <c r="BB37" i="59"/>
  <c r="G22" i="59"/>
  <c r="G23" i="59"/>
  <c r="AJ37" i="59"/>
  <c r="O22" i="59"/>
  <c r="E22" i="59"/>
  <c r="N22" i="59"/>
  <c r="J22" i="59"/>
  <c r="I22" i="59"/>
  <c r="I23" i="59"/>
  <c r="AP37" i="59"/>
  <c r="K22" i="59"/>
  <c r="L22" i="59"/>
  <c r="H22" i="59"/>
  <c r="BD126" i="67"/>
  <c r="BE126" i="67"/>
  <c r="BF126" i="67"/>
  <c r="AO126" i="67"/>
  <c r="BH126" i="67"/>
  <c r="BE92" i="67"/>
  <c r="BG92" i="67"/>
  <c r="Y92" i="67"/>
  <c r="BH102" i="67"/>
  <c r="BD102" i="67"/>
  <c r="BE102" i="67"/>
  <c r="AO102" i="67"/>
  <c r="BF102" i="67"/>
  <c r="AR140" i="67"/>
  <c r="BI140" i="67"/>
  <c r="BJ140" i="67"/>
  <c r="BK140" i="67"/>
  <c r="BG116" i="67"/>
  <c r="Y116" i="67"/>
  <c r="AR116" i="67"/>
  <c r="BI116" i="67"/>
  <c r="BK116" i="67"/>
  <c r="F12" i="59"/>
  <c r="AC32" i="59"/>
  <c r="AC54" i="59"/>
  <c r="G24" i="59"/>
  <c r="AF38" i="59"/>
  <c r="G16" i="59"/>
  <c r="AF34" i="59"/>
  <c r="H23" i="59"/>
  <c r="AM37" i="59"/>
  <c r="K23" i="59"/>
  <c r="AV37" i="59"/>
  <c r="E23" i="59"/>
  <c r="AD37" i="59"/>
  <c r="F23" i="59"/>
  <c r="AG37" i="59"/>
  <c r="AZ92" i="67"/>
  <c r="BB92" i="67"/>
  <c r="P92" i="67"/>
  <c r="P103" i="67"/>
  <c r="P104" i="67" s="1"/>
  <c r="AZ15" i="67"/>
  <c r="BB15" i="67"/>
  <c r="AJ15" i="67"/>
  <c r="BA102" i="67"/>
  <c r="AY102" i="67"/>
  <c r="AZ102" i="67"/>
  <c r="O23" i="59"/>
  <c r="BH37" i="59"/>
  <c r="J23" i="59"/>
  <c r="AS37" i="59"/>
  <c r="AZ116" i="67"/>
  <c r="BB116" i="67"/>
  <c r="P116" i="67"/>
  <c r="P127" i="67"/>
  <c r="P128" i="67" s="1"/>
  <c r="BA25" i="67"/>
  <c r="AY25" i="67"/>
  <c r="AZ25" i="67"/>
  <c r="AJ27" i="67"/>
  <c r="BA126" i="67"/>
  <c r="AY126" i="67"/>
  <c r="AZ126" i="67"/>
  <c r="L23" i="59"/>
  <c r="AY37" i="59"/>
  <c r="N23" i="59"/>
  <c r="BE37" i="59"/>
  <c r="BG150" i="67"/>
  <c r="Y150" i="67"/>
  <c r="BB140" i="67"/>
  <c r="P140" i="67"/>
  <c r="P151" i="67"/>
  <c r="P152" i="67" s="1"/>
  <c r="F20" i="59"/>
  <c r="AC36" i="59"/>
  <c r="BA150" i="67"/>
  <c r="AY150" i="67"/>
  <c r="AZ150" i="67"/>
  <c r="BL140" i="67"/>
  <c r="AH140" i="67"/>
  <c r="BG102" i="67"/>
  <c r="Y102" i="67"/>
  <c r="BJ92" i="67"/>
  <c r="BL92" i="67"/>
  <c r="AH92" i="67"/>
  <c r="BJ116" i="67"/>
  <c r="BL116" i="67"/>
  <c r="AH116" i="67"/>
  <c r="BK126" i="67"/>
  <c r="BI126" i="67"/>
  <c r="BJ126" i="67"/>
  <c r="BK102" i="67"/>
  <c r="BI102" i="67"/>
  <c r="BG126" i="67"/>
  <c r="Y126" i="67"/>
  <c r="BK150" i="67"/>
  <c r="BI150" i="67"/>
  <c r="AF32" i="59"/>
  <c r="G12" i="59"/>
  <c r="H24" i="59"/>
  <c r="AI38" i="59"/>
  <c r="H16" i="59"/>
  <c r="AI34" i="59"/>
  <c r="Y151" i="67"/>
  <c r="AE54" i="59"/>
  <c r="Y103" i="67"/>
  <c r="AO103" i="67"/>
  <c r="BB126" i="67"/>
  <c r="P126" i="67"/>
  <c r="BB102" i="67"/>
  <c r="P102" i="67"/>
  <c r="Y127" i="67"/>
  <c r="AO127" i="67" s="1"/>
  <c r="G20" i="59"/>
  <c r="AF36" i="59"/>
  <c r="BB150" i="67"/>
  <c r="P150" i="67"/>
  <c r="BB25" i="67"/>
  <c r="AJ25" i="67"/>
  <c r="BL126" i="67"/>
  <c r="AH126" i="67"/>
  <c r="BJ102" i="67"/>
  <c r="BL102" i="67"/>
  <c r="AH102" i="67"/>
  <c r="BJ150" i="67"/>
  <c r="BL150" i="67"/>
  <c r="AH150" i="67"/>
  <c r="AL38" i="59"/>
  <c r="I24" i="59"/>
  <c r="H12" i="59"/>
  <c r="AI32" i="59"/>
  <c r="AL34" i="59"/>
  <c r="I16" i="59"/>
  <c r="AH103" i="67"/>
  <c r="Y104" i="67"/>
  <c r="AO104" i="67" s="1"/>
  <c r="AI36" i="59"/>
  <c r="H20" i="59"/>
  <c r="J16" i="59"/>
  <c r="AO34" i="59"/>
  <c r="I12" i="59"/>
  <c r="AL32" i="59"/>
  <c r="AO38" i="59"/>
  <c r="J24" i="59"/>
  <c r="I20" i="59"/>
  <c r="AL36" i="59"/>
  <c r="AO32" i="59"/>
  <c r="J12" i="59"/>
  <c r="K16" i="59"/>
  <c r="AR34" i="59"/>
  <c r="K24" i="59"/>
  <c r="AR38" i="59"/>
  <c r="J20" i="59"/>
  <c r="AO36" i="59"/>
  <c r="L16" i="59"/>
  <c r="AU34" i="59"/>
  <c r="AR32" i="59"/>
  <c r="K12" i="59"/>
  <c r="L24" i="59"/>
  <c r="AU38" i="59"/>
  <c r="AR36" i="59"/>
  <c r="K20" i="59"/>
  <c r="AX38" i="59"/>
  <c r="M24" i="59"/>
  <c r="L12" i="59"/>
  <c r="AU32" i="59"/>
  <c r="AX34" i="59"/>
  <c r="M16" i="59"/>
  <c r="L20" i="59"/>
  <c r="AU36" i="59"/>
  <c r="BA38" i="59"/>
  <c r="N24" i="59"/>
  <c r="N16" i="59"/>
  <c r="BA34" i="59"/>
  <c r="M12" i="59"/>
  <c r="AX32" i="59"/>
  <c r="M20" i="59"/>
  <c r="AX36" i="59"/>
  <c r="O16" i="59"/>
  <c r="BG34" i="59"/>
  <c r="BD34" i="59"/>
  <c r="BD38" i="59"/>
  <c r="O24" i="59"/>
  <c r="BG38" i="59"/>
  <c r="BA32" i="59"/>
  <c r="N12" i="59"/>
  <c r="N20" i="59"/>
  <c r="M39" i="59"/>
  <c r="BA36" i="59"/>
  <c r="I39" i="59"/>
  <c r="I168" i="59" s="1"/>
  <c r="AD55" i="59"/>
  <c r="M41" i="59"/>
  <c r="M169" i="59" s="1"/>
  <c r="AF55" i="59"/>
  <c r="O12" i="59"/>
  <c r="BD32" i="59"/>
  <c r="N39" i="59"/>
  <c r="N43" i="59" s="1"/>
  <c r="H39" i="59"/>
  <c r="H168" i="59" s="1"/>
  <c r="J39" i="59"/>
  <c r="J168" i="59" s="1"/>
  <c r="E39" i="59"/>
  <c r="E168" i="59" s="1"/>
  <c r="E41" i="59"/>
  <c r="E169" i="59" s="1"/>
  <c r="E42" i="59"/>
  <c r="F42" i="59" s="1"/>
  <c r="G42" i="59" s="1"/>
  <c r="L39" i="59"/>
  <c r="L168" i="59" s="1"/>
  <c r="L41" i="59"/>
  <c r="L169" i="59"/>
  <c r="F39" i="59"/>
  <c r="F168" i="59" s="1"/>
  <c r="J41" i="59"/>
  <c r="K41" i="59"/>
  <c r="K169" i="59" s="1"/>
  <c r="F41" i="59"/>
  <c r="F169" i="59" s="1"/>
  <c r="O41" i="59"/>
  <c r="O169" i="59" s="1"/>
  <c r="K39" i="59"/>
  <c r="K168" i="59" s="1"/>
  <c r="G41" i="59"/>
  <c r="G169" i="59" s="1"/>
  <c r="O20" i="59"/>
  <c r="BG36" i="59"/>
  <c r="H41" i="59"/>
  <c r="G39" i="59"/>
  <c r="G168" i="59" s="1"/>
  <c r="BD36" i="59"/>
  <c r="I41" i="59"/>
  <c r="N41" i="59"/>
  <c r="N169" i="59" s="1"/>
  <c r="E40" i="59"/>
  <c r="BG32" i="59"/>
  <c r="AC55" i="59"/>
  <c r="N168" i="59"/>
  <c r="O39" i="59"/>
  <c r="AE55" i="59"/>
  <c r="F106" i="59" l="1"/>
  <c r="G188" i="59"/>
  <c r="H188" i="59" s="1"/>
  <c r="I188" i="59" s="1"/>
  <c r="J188" i="59" s="1"/>
  <c r="K188" i="59" s="1"/>
  <c r="L188" i="59" s="1"/>
  <c r="M188" i="59" s="1"/>
  <c r="N188" i="59" s="1"/>
  <c r="O188" i="59" s="1"/>
  <c r="N178" i="59"/>
  <c r="AH104" i="67"/>
  <c r="AK64" i="62"/>
  <c r="AK65" i="62" s="1"/>
  <c r="AH127" i="67"/>
  <c r="AO151" i="67"/>
  <c r="L43" i="59"/>
  <c r="Y128" i="67"/>
  <c r="AO128" i="67" s="1"/>
  <c r="I181" i="59"/>
  <c r="K181" i="59"/>
  <c r="AJ132" i="62"/>
  <c r="AK98" i="62"/>
  <c r="AK99" i="62" s="1"/>
  <c r="E43" i="59"/>
  <c r="N181" i="59"/>
  <c r="G182" i="59"/>
  <c r="H182" i="59" s="1"/>
  <c r="G106" i="59"/>
  <c r="H106" i="59" s="1"/>
  <c r="I106" i="59" s="1"/>
  <c r="J106" i="59" s="1"/>
  <c r="K106" i="59" s="1"/>
  <c r="L106" i="59" s="1"/>
  <c r="M106" i="59" s="1"/>
  <c r="N106" i="59" s="1"/>
  <c r="O106" i="59" s="1"/>
  <c r="H42" i="59"/>
  <c r="P391" i="60"/>
  <c r="N170" i="59"/>
  <c r="P306" i="60"/>
  <c r="P138" i="60"/>
  <c r="P223" i="60"/>
  <c r="N176" i="59"/>
  <c r="M168" i="59"/>
  <c r="M43" i="59"/>
  <c r="H169" i="59"/>
  <c r="H43" i="59"/>
  <c r="I43" i="59"/>
  <c r="I169" i="59"/>
  <c r="O43" i="59"/>
  <c r="O168" i="59"/>
  <c r="E44" i="59"/>
  <c r="F40" i="59"/>
  <c r="K43" i="59"/>
  <c r="L170" i="59"/>
  <c r="L176" i="59"/>
  <c r="N223" i="60"/>
  <c r="G43" i="59"/>
  <c r="J169" i="59"/>
  <c r="J43" i="59"/>
  <c r="F185" i="59"/>
  <c r="G185" i="59" s="1"/>
  <c r="H185" i="59" s="1"/>
  <c r="I185" i="59" s="1"/>
  <c r="J185" i="59" s="1"/>
  <c r="K185" i="59" s="1"/>
  <c r="L185" i="59" s="1"/>
  <c r="M185" i="59" s="1"/>
  <c r="N185" i="59" s="1"/>
  <c r="O185" i="59" s="1"/>
  <c r="F43" i="59"/>
  <c r="F179" i="59"/>
  <c r="G179" i="59" s="1"/>
  <c r="H179" i="59" s="1"/>
  <c r="I179" i="59" s="1"/>
  <c r="J179" i="59" s="1"/>
  <c r="K179" i="59" s="1"/>
  <c r="L179" i="59" s="1"/>
  <c r="M179" i="59" s="1"/>
  <c r="N179" i="59" s="1"/>
  <c r="O179" i="59" s="1"/>
  <c r="AH151" i="67"/>
  <c r="Y152" i="67"/>
  <c r="G138" i="60" l="1"/>
  <c r="G223" i="60"/>
  <c r="E170" i="59"/>
  <c r="I182" i="59"/>
  <c r="J182" i="59" s="1"/>
  <c r="K182" i="59" s="1"/>
  <c r="L182" i="59" s="1"/>
  <c r="M182" i="59" s="1"/>
  <c r="N182" i="59" s="1"/>
  <c r="O182" i="59" s="1"/>
  <c r="G391" i="60"/>
  <c r="G396" i="60" s="1"/>
  <c r="G397" i="60" s="1"/>
  <c r="E176" i="59"/>
  <c r="E177" i="59" s="1"/>
  <c r="E189" i="59" s="1"/>
  <c r="N138" i="60"/>
  <c r="N306" i="60"/>
  <c r="N391" i="60"/>
  <c r="AH128" i="67"/>
  <c r="G306" i="60"/>
  <c r="G311" i="60" s="1"/>
  <c r="G312" i="60" s="1"/>
  <c r="H176" i="59"/>
  <c r="H170" i="59"/>
  <c r="J138" i="60"/>
  <c r="J223" i="60"/>
  <c r="J306" i="60"/>
  <c r="J391" i="60"/>
  <c r="P131" i="60"/>
  <c r="P143" i="60"/>
  <c r="F176" i="59"/>
  <c r="H391" i="60"/>
  <c r="H138" i="60"/>
  <c r="H306" i="60"/>
  <c r="F170" i="59"/>
  <c r="H223" i="60"/>
  <c r="I223" i="60"/>
  <c r="I138" i="60"/>
  <c r="G170" i="59"/>
  <c r="G176" i="59"/>
  <c r="I391" i="60"/>
  <c r="I306" i="60"/>
  <c r="K170" i="59"/>
  <c r="M223" i="60"/>
  <c r="M138" i="60"/>
  <c r="K176" i="59"/>
  <c r="M391" i="60"/>
  <c r="M306" i="60"/>
  <c r="Q306" i="60"/>
  <c r="O176" i="59"/>
  <c r="Q391" i="60"/>
  <c r="Q138" i="60"/>
  <c r="Q223" i="60"/>
  <c r="O170" i="59"/>
  <c r="P297" i="60"/>
  <c r="P311" i="60"/>
  <c r="AO152" i="67"/>
  <c r="AH152" i="67"/>
  <c r="N214" i="60"/>
  <c r="N228" i="60"/>
  <c r="F44" i="59"/>
  <c r="G40" i="59"/>
  <c r="O306" i="60"/>
  <c r="M170" i="59"/>
  <c r="M176" i="59"/>
  <c r="O391" i="60"/>
  <c r="O138" i="60"/>
  <c r="O223" i="60"/>
  <c r="L223" i="60"/>
  <c r="L306" i="60"/>
  <c r="J170" i="59"/>
  <c r="L138" i="60"/>
  <c r="J176" i="59"/>
  <c r="L391" i="60"/>
  <c r="G382" i="60"/>
  <c r="E180" i="59"/>
  <c r="E136" i="59"/>
  <c r="E173" i="59" s="1"/>
  <c r="E107" i="59"/>
  <c r="E172" i="59" s="1"/>
  <c r="E165" i="59"/>
  <c r="E174" i="59" s="1"/>
  <c r="E78" i="59"/>
  <c r="E171" i="59" s="1"/>
  <c r="I176" i="59"/>
  <c r="K391" i="60"/>
  <c r="I170" i="59"/>
  <c r="K306" i="60"/>
  <c r="K223" i="60"/>
  <c r="K138" i="60"/>
  <c r="P214" i="60"/>
  <c r="P228" i="60"/>
  <c r="P382" i="60"/>
  <c r="P396" i="60"/>
  <c r="I42" i="59"/>
  <c r="J42" i="59" s="1"/>
  <c r="K42" i="59" s="1"/>
  <c r="L42" i="59" s="1"/>
  <c r="M42" i="59" s="1"/>
  <c r="N42" i="59" s="1"/>
  <c r="O42" i="59" s="1"/>
  <c r="F177" i="59" l="1"/>
  <c r="F186" i="59" s="1"/>
  <c r="AC79" i="59"/>
  <c r="E186" i="59"/>
  <c r="N143" i="60"/>
  <c r="N131" i="60"/>
  <c r="G228" i="60"/>
  <c r="G229" i="60" s="1"/>
  <c r="G214" i="60"/>
  <c r="E183" i="59"/>
  <c r="G297" i="60"/>
  <c r="N396" i="60"/>
  <c r="N382" i="60"/>
  <c r="G143" i="60"/>
  <c r="G144" i="60" s="1"/>
  <c r="G131" i="60"/>
  <c r="N297" i="60"/>
  <c r="N311" i="60"/>
  <c r="O228" i="60"/>
  <c r="O214" i="60"/>
  <c r="Q131" i="60"/>
  <c r="Q143" i="60"/>
  <c r="M297" i="60"/>
  <c r="M311" i="60"/>
  <c r="M214" i="60"/>
  <c r="M228" i="60"/>
  <c r="I382" i="60"/>
  <c r="I396" i="60"/>
  <c r="I214" i="60"/>
  <c r="I228" i="60"/>
  <c r="H143" i="60"/>
  <c r="H144" i="60" s="1"/>
  <c r="H131" i="60"/>
  <c r="J131" i="60"/>
  <c r="J143" i="60"/>
  <c r="K143" i="60"/>
  <c r="K131" i="60"/>
  <c r="K382" i="60"/>
  <c r="K396" i="60"/>
  <c r="L382" i="60"/>
  <c r="L396" i="60"/>
  <c r="L311" i="60"/>
  <c r="L297" i="60"/>
  <c r="O143" i="60"/>
  <c r="O131" i="60"/>
  <c r="O311" i="60"/>
  <c r="O297" i="60"/>
  <c r="Q382" i="60"/>
  <c r="Q396" i="60"/>
  <c r="M396" i="60"/>
  <c r="M382" i="60"/>
  <c r="H228" i="60"/>
  <c r="H214" i="60"/>
  <c r="H382" i="60"/>
  <c r="H396" i="60"/>
  <c r="H397" i="60" s="1"/>
  <c r="J396" i="60"/>
  <c r="J382" i="60"/>
  <c r="K214" i="60"/>
  <c r="K228" i="60"/>
  <c r="L228" i="60"/>
  <c r="L214" i="60"/>
  <c r="O396" i="60"/>
  <c r="O382" i="60"/>
  <c r="H40" i="59"/>
  <c r="G44" i="59"/>
  <c r="F183" i="59"/>
  <c r="F180" i="59"/>
  <c r="J297" i="60"/>
  <c r="J311" i="60"/>
  <c r="K311" i="60"/>
  <c r="K297" i="60"/>
  <c r="L131" i="60"/>
  <c r="L143" i="60"/>
  <c r="F165" i="59"/>
  <c r="F174" i="59" s="1"/>
  <c r="F136" i="59"/>
  <c r="F173" i="59" s="1"/>
  <c r="F107" i="59"/>
  <c r="F172" i="59" s="1"/>
  <c r="F78" i="59"/>
  <c r="F171" i="59" s="1"/>
  <c r="Q214" i="60"/>
  <c r="Q228" i="60"/>
  <c r="Q311" i="60"/>
  <c r="Q297" i="60"/>
  <c r="M131" i="60"/>
  <c r="M143" i="60"/>
  <c r="I311" i="60"/>
  <c r="I297" i="60"/>
  <c r="I143" i="60"/>
  <c r="I131" i="60"/>
  <c r="H311" i="60"/>
  <c r="H312" i="60" s="1"/>
  <c r="I312" i="60" s="1"/>
  <c r="J312" i="60" s="1"/>
  <c r="H297" i="60"/>
  <c r="J214" i="60"/>
  <c r="J228" i="60"/>
  <c r="F189" i="59" l="1"/>
  <c r="G177" i="59"/>
  <c r="H177" i="59" s="1"/>
  <c r="I177" i="59" s="1"/>
  <c r="J177" i="59" s="1"/>
  <c r="K177" i="59" s="1"/>
  <c r="K183" i="59" s="1"/>
  <c r="H229" i="60"/>
  <c r="I229" i="60" s="1"/>
  <c r="J229" i="60" s="1"/>
  <c r="K229" i="60" s="1"/>
  <c r="L229" i="60" s="1"/>
  <c r="M229" i="60" s="1"/>
  <c r="N229" i="60" s="1"/>
  <c r="O229" i="60" s="1"/>
  <c r="P229" i="60" s="1"/>
  <c r="Q229" i="60" s="1"/>
  <c r="I397" i="60"/>
  <c r="J397" i="60" s="1"/>
  <c r="K397" i="60" s="1"/>
  <c r="L397" i="60" s="1"/>
  <c r="M397" i="60" s="1"/>
  <c r="N397" i="60" s="1"/>
  <c r="O397" i="60" s="1"/>
  <c r="P397" i="60" s="1"/>
  <c r="Q397" i="60" s="1"/>
  <c r="I144" i="60"/>
  <c r="J144" i="60" s="1"/>
  <c r="K144" i="60" s="1"/>
  <c r="L144" i="60" s="1"/>
  <c r="M144" i="60" s="1"/>
  <c r="N144" i="60" s="1"/>
  <c r="O144" i="60" s="1"/>
  <c r="P144" i="60" s="1"/>
  <c r="Q144" i="60" s="1"/>
  <c r="K312" i="60"/>
  <c r="L312" i="60" s="1"/>
  <c r="M312" i="60" s="1"/>
  <c r="N312" i="60" s="1"/>
  <c r="O312" i="60" s="1"/>
  <c r="P312" i="60" s="1"/>
  <c r="Q312" i="60" s="1"/>
  <c r="I186" i="59"/>
  <c r="H180" i="59"/>
  <c r="G186" i="59"/>
  <c r="K186" i="59"/>
  <c r="J180" i="59"/>
  <c r="G136" i="59"/>
  <c r="G173" i="59" s="1"/>
  <c r="G78" i="59"/>
  <c r="G171" i="59" s="1"/>
  <c r="G165" i="59"/>
  <c r="G174" i="59" s="1"/>
  <c r="G107" i="59"/>
  <c r="G172" i="59" s="1"/>
  <c r="H44" i="59"/>
  <c r="I40" i="59"/>
  <c r="J189" i="59" l="1"/>
  <c r="G189" i="59"/>
  <c r="H189" i="59"/>
  <c r="I180" i="59"/>
  <c r="J186" i="59"/>
  <c r="L177" i="59"/>
  <c r="L189" i="59" s="1"/>
  <c r="K189" i="59"/>
  <c r="G180" i="59"/>
  <c r="H186" i="59"/>
  <c r="I189" i="59"/>
  <c r="K180" i="59"/>
  <c r="J183" i="59"/>
  <c r="G183" i="59"/>
  <c r="H183" i="59"/>
  <c r="I183" i="59"/>
  <c r="L180" i="59"/>
  <c r="I44" i="59"/>
  <c r="J40" i="59"/>
  <c r="H165" i="59"/>
  <c r="H174" i="59" s="1"/>
  <c r="H107" i="59"/>
  <c r="H172" i="59" s="1"/>
  <c r="H78" i="59"/>
  <c r="H171" i="59" s="1"/>
  <c r="H136" i="59"/>
  <c r="H173" i="59" s="1"/>
  <c r="L186" i="59" l="1"/>
  <c r="M177" i="59"/>
  <c r="M189" i="59" s="1"/>
  <c r="L183" i="59"/>
  <c r="M180" i="59"/>
  <c r="K40" i="59"/>
  <c r="J44" i="59"/>
  <c r="I107" i="59"/>
  <c r="I172" i="59" s="1"/>
  <c r="I165" i="59"/>
  <c r="I174" i="59" s="1"/>
  <c r="I136" i="59"/>
  <c r="I173" i="59" s="1"/>
  <c r="I78" i="59"/>
  <c r="I171" i="59" s="1"/>
  <c r="M186" i="59" l="1"/>
  <c r="N177" i="59"/>
  <c r="N186" i="59" s="1"/>
  <c r="M183" i="59"/>
  <c r="J107" i="59"/>
  <c r="J172" i="59" s="1"/>
  <c r="J78" i="59"/>
  <c r="J171" i="59" s="1"/>
  <c r="J165" i="59"/>
  <c r="J174" i="59" s="1"/>
  <c r="J136" i="59"/>
  <c r="J173" i="59" s="1"/>
  <c r="K44" i="59"/>
  <c r="L40" i="59"/>
  <c r="N189" i="59" l="1"/>
  <c r="O177" i="59"/>
  <c r="O183" i="59" s="1"/>
  <c r="N183" i="59"/>
  <c r="N180" i="59"/>
  <c r="O180" i="59"/>
  <c r="M40" i="59"/>
  <c r="L44" i="59"/>
  <c r="K78" i="59"/>
  <c r="K171" i="59" s="1"/>
  <c r="K107" i="59"/>
  <c r="K172" i="59" s="1"/>
  <c r="K165" i="59"/>
  <c r="K174" i="59" s="1"/>
  <c r="K136" i="59"/>
  <c r="K173" i="59" s="1"/>
  <c r="O189" i="59" l="1"/>
  <c r="O186" i="59"/>
  <c r="N40" i="59"/>
  <c r="M44" i="59"/>
  <c r="L78" i="59"/>
  <c r="L171" i="59" s="1"/>
  <c r="L136" i="59"/>
  <c r="L173" i="59" s="1"/>
  <c r="L165" i="59"/>
  <c r="L174" i="59" s="1"/>
  <c r="L107" i="59"/>
  <c r="L172" i="59" s="1"/>
  <c r="N44" i="59" l="1"/>
  <c r="O40" i="59"/>
  <c r="O44" i="59" s="1"/>
  <c r="M136" i="59"/>
  <c r="M173" i="59" s="1"/>
  <c r="M78" i="59"/>
  <c r="M171" i="59" s="1"/>
  <c r="M165" i="59"/>
  <c r="M174" i="59" s="1"/>
  <c r="M107" i="59"/>
  <c r="M172" i="59" s="1"/>
  <c r="O107" i="59" l="1"/>
  <c r="O172" i="59" s="1"/>
  <c r="O165" i="59"/>
  <c r="O174" i="59" s="1"/>
  <c r="O136" i="59"/>
  <c r="O173" i="59" s="1"/>
  <c r="O78" i="59"/>
  <c r="O171" i="59" s="1"/>
  <c r="N107" i="59"/>
  <c r="N172" i="59" s="1"/>
  <c r="N136" i="59"/>
  <c r="N173" i="59" s="1"/>
  <c r="N78" i="59"/>
  <c r="N171" i="59" s="1"/>
  <c r="N165" i="59"/>
  <c r="N174" i="59" s="1"/>
</calcChain>
</file>

<file path=xl/sharedStrings.xml><?xml version="1.0" encoding="utf-8"?>
<sst xmlns="http://schemas.openxmlformats.org/spreadsheetml/2006/main" count="2422" uniqueCount="845">
  <si>
    <t>1注文書あたりの平均作業時間</t>
    <rPh sb="8" eb="10">
      <t>ヘイキン</t>
    </rPh>
    <rPh sb="10" eb="12">
      <t>サギョウ</t>
    </rPh>
    <rPh sb="12" eb="14">
      <t>ジカン</t>
    </rPh>
    <phoneticPr fontId="2"/>
  </si>
  <si>
    <t>1注文書あたりの平均作業コスト</t>
    <rPh sb="8" eb="10">
      <t>ヘイキン</t>
    </rPh>
    <rPh sb="10" eb="12">
      <t>サギョウ</t>
    </rPh>
    <phoneticPr fontId="2"/>
  </si>
  <si>
    <t>1注文書あたりの平均作業経費</t>
    <rPh sb="8" eb="10">
      <t>ヘイキン</t>
    </rPh>
    <rPh sb="10" eb="12">
      <t>サギョウ</t>
    </rPh>
    <rPh sb="12" eb="14">
      <t>ケイヒ</t>
    </rPh>
    <phoneticPr fontId="2"/>
  </si>
  <si>
    <t>1注文書あたりの作業時間コスト、経費など</t>
    <rPh sb="1" eb="3">
      <t>チュウモン</t>
    </rPh>
    <rPh sb="3" eb="4">
      <t>ショ</t>
    </rPh>
    <rPh sb="8" eb="10">
      <t>サギョウ</t>
    </rPh>
    <rPh sb="10" eb="12">
      <t>ジカン</t>
    </rPh>
    <rPh sb="16" eb="18">
      <t>ケイヒ</t>
    </rPh>
    <phoneticPr fontId="2"/>
  </si>
  <si>
    <t>注文書印刷代
※2.6円/枚（白黒印刷）を想定</t>
    <rPh sb="3" eb="5">
      <t>インサツ</t>
    </rPh>
    <rPh sb="5" eb="6">
      <t>ダイ</t>
    </rPh>
    <rPh sb="11" eb="12">
      <t>エン</t>
    </rPh>
    <rPh sb="13" eb="14">
      <t>マイ</t>
    </rPh>
    <rPh sb="15" eb="17">
      <t>シロクロ</t>
    </rPh>
    <rPh sb="17" eb="19">
      <t>インサツ</t>
    </rPh>
    <rPh sb="21" eb="23">
      <t>ソウテイ</t>
    </rPh>
    <phoneticPr fontId="2"/>
  </si>
  <si>
    <t>注文書控えのコピー代
※2.6円/枚（白黒印刷）を想定</t>
    <rPh sb="3" eb="4">
      <t>ヒカ</t>
    </rPh>
    <rPh sb="9" eb="10">
      <t>ダイ</t>
    </rPh>
    <rPh sb="15" eb="16">
      <t>エン</t>
    </rPh>
    <rPh sb="17" eb="18">
      <t>マイ</t>
    </rPh>
    <rPh sb="19" eb="21">
      <t>シロクロ</t>
    </rPh>
    <rPh sb="21" eb="23">
      <t>インサツ</t>
    </rPh>
    <rPh sb="25" eb="27">
      <t>ソウテイ</t>
    </rPh>
    <phoneticPr fontId="2"/>
  </si>
  <si>
    <t>書類枚数
（現業務調査シートの鑑、明細情報、その他注文に係る枚数の合計を参照）</t>
    <rPh sb="0" eb="2">
      <t>ショルイ</t>
    </rPh>
    <rPh sb="2" eb="4">
      <t>マイスウ</t>
    </rPh>
    <rPh sb="6" eb="7">
      <t>ウツツ</t>
    </rPh>
    <rPh sb="7" eb="9">
      <t>ギョウム</t>
    </rPh>
    <rPh sb="9" eb="11">
      <t>チョウサ</t>
    </rPh>
    <rPh sb="15" eb="16">
      <t>カガミ</t>
    </rPh>
    <rPh sb="17" eb="19">
      <t>メイサイ</t>
    </rPh>
    <rPh sb="19" eb="21">
      <t>ジョウホウ</t>
    </rPh>
    <rPh sb="24" eb="25">
      <t>タ</t>
    </rPh>
    <rPh sb="28" eb="29">
      <t>カカ</t>
    </rPh>
    <rPh sb="30" eb="32">
      <t>マイスウ</t>
    </rPh>
    <rPh sb="33" eb="35">
      <t>ゴウケイ</t>
    </rPh>
    <rPh sb="36" eb="38">
      <t>サンショウ</t>
    </rPh>
    <phoneticPr fontId="2"/>
  </si>
  <si>
    <t>1注文請書あたりの作業時間コスト、経費など</t>
    <rPh sb="9" eb="11">
      <t>サギョウ</t>
    </rPh>
    <rPh sb="11" eb="13">
      <t>ジカン</t>
    </rPh>
    <rPh sb="17" eb="19">
      <t>ケイヒ</t>
    </rPh>
    <phoneticPr fontId="2"/>
  </si>
  <si>
    <t>1注文請書辺りの平均作業時間コスト</t>
    <rPh sb="5" eb="6">
      <t>アタ</t>
    </rPh>
    <rPh sb="8" eb="10">
      <t>ヘイキン</t>
    </rPh>
    <rPh sb="10" eb="12">
      <t>サギョウ</t>
    </rPh>
    <rPh sb="12" eb="14">
      <t>ジカン</t>
    </rPh>
    <phoneticPr fontId="2"/>
  </si>
  <si>
    <t>1注文請書あたりの平均作業時間</t>
    <rPh sb="9" eb="11">
      <t>ヘイキン</t>
    </rPh>
    <rPh sb="11" eb="13">
      <t>サギョウ</t>
    </rPh>
    <rPh sb="13" eb="15">
      <t>ジカン</t>
    </rPh>
    <phoneticPr fontId="2"/>
  </si>
  <si>
    <t>1注文請書あたりの平均作業コスト</t>
    <rPh sb="9" eb="11">
      <t>ヘイキン</t>
    </rPh>
    <rPh sb="11" eb="13">
      <t>サギョウ</t>
    </rPh>
    <phoneticPr fontId="2"/>
  </si>
  <si>
    <t>1注文請書辺りの平均経費</t>
    <rPh sb="5" eb="6">
      <t>アタ</t>
    </rPh>
    <rPh sb="8" eb="10">
      <t>ヘイキン</t>
    </rPh>
    <rPh sb="10" eb="12">
      <t>ケイヒ</t>
    </rPh>
    <phoneticPr fontId="2"/>
  </si>
  <si>
    <t>1注文請書あたりの平均作業経費</t>
    <rPh sb="9" eb="11">
      <t>ヘイキン</t>
    </rPh>
    <rPh sb="11" eb="13">
      <t>サギョウ</t>
    </rPh>
    <rPh sb="13" eb="15">
      <t>ケイヒ</t>
    </rPh>
    <phoneticPr fontId="2"/>
  </si>
  <si>
    <t>注文請書の年間コスト</t>
    <rPh sb="5" eb="7">
      <t>ネンカン</t>
    </rPh>
    <phoneticPr fontId="2"/>
  </si>
  <si>
    <t>注文請書の年間の総コスト</t>
    <rPh sb="5" eb="7">
      <t>ネンカン</t>
    </rPh>
    <rPh sb="8" eb="9">
      <t>ソウ</t>
    </rPh>
    <phoneticPr fontId="2"/>
  </si>
  <si>
    <t>出来高調書・出来高査定</t>
    <rPh sb="0" eb="3">
      <t>デキダカ</t>
    </rPh>
    <rPh sb="3" eb="5">
      <t>チョウショ</t>
    </rPh>
    <rPh sb="6" eb="9">
      <t>デキダカ</t>
    </rPh>
    <rPh sb="9" eb="11">
      <t>サテイ</t>
    </rPh>
    <phoneticPr fontId="2"/>
  </si>
  <si>
    <t xml:space="preserve">出来高情報の事前収集
</t>
    <rPh sb="0" eb="3">
      <t>デキダカ</t>
    </rPh>
    <rPh sb="3" eb="5">
      <t>ジョウホウ</t>
    </rPh>
    <rPh sb="6" eb="8">
      <t>ジゼン</t>
    </rPh>
    <rPh sb="8" eb="10">
      <t>シュウシュウ</t>
    </rPh>
    <phoneticPr fontId="2"/>
  </si>
  <si>
    <t>－</t>
    <phoneticPr fontId="2"/>
  </si>
  <si>
    <t>※この係数は電子化しても変動しないと想定し、集計対象外としました。</t>
    <phoneticPr fontId="2"/>
  </si>
  <si>
    <t>1回の折衝に係る時間
（現業務調査シートより参照）</t>
    <rPh sb="1" eb="2">
      <t>カイ</t>
    </rPh>
    <rPh sb="3" eb="5">
      <t>セッショウ</t>
    </rPh>
    <rPh sb="6" eb="7">
      <t>カカ</t>
    </rPh>
    <rPh sb="8" eb="10">
      <t>ジカン</t>
    </rPh>
    <rPh sb="12" eb="13">
      <t>ゲン</t>
    </rPh>
    <rPh sb="13" eb="15">
      <t>ギョウム</t>
    </rPh>
    <rPh sb="15" eb="17">
      <t>チョウサ</t>
    </rPh>
    <rPh sb="22" eb="24">
      <t>サンショウ</t>
    </rPh>
    <phoneticPr fontId="2"/>
  </si>
  <si>
    <t>検算処理
※最低1分、または作成時間の5%を想定</t>
    <rPh sb="0" eb="2">
      <t>ケンザン</t>
    </rPh>
    <rPh sb="2" eb="4">
      <t>ショリ</t>
    </rPh>
    <rPh sb="6" eb="8">
      <t>サイテイ</t>
    </rPh>
    <rPh sb="9" eb="10">
      <t>フン</t>
    </rPh>
    <phoneticPr fontId="2"/>
  </si>
  <si>
    <t>出来高調書保管
※3分を想定</t>
    <rPh sb="0" eb="3">
      <t>デキダカ</t>
    </rPh>
    <rPh sb="3" eb="5">
      <t>チョウショ</t>
    </rPh>
    <rPh sb="5" eb="7">
      <t>ホカン</t>
    </rPh>
    <rPh sb="10" eb="11">
      <t>フン</t>
    </rPh>
    <rPh sb="12" eb="14">
      <t>ソウテイ</t>
    </rPh>
    <phoneticPr fontId="2"/>
  </si>
  <si>
    <t>作業時間計</t>
    <rPh sb="0" eb="2">
      <t>サギョウ</t>
    </rPh>
    <rPh sb="2" eb="4">
      <t>ジカン</t>
    </rPh>
    <rPh sb="4" eb="5">
      <t>ケイ</t>
    </rPh>
    <phoneticPr fontId="2"/>
  </si>
  <si>
    <t>経費などの合計</t>
    <rPh sb="0" eb="2">
      <t>ケイヒ</t>
    </rPh>
    <rPh sb="5" eb="7">
      <t>ゴウケイ</t>
    </rPh>
    <phoneticPr fontId="2"/>
  </si>
  <si>
    <t>1出来高調書あたりの作業時間コスト、経費など</t>
    <rPh sb="1" eb="4">
      <t>デキダカ</t>
    </rPh>
    <rPh sb="4" eb="6">
      <t>チョウショ</t>
    </rPh>
    <rPh sb="10" eb="12">
      <t>サギョウ</t>
    </rPh>
    <rPh sb="12" eb="14">
      <t>ジカン</t>
    </rPh>
    <rPh sb="18" eb="20">
      <t>ケイヒ</t>
    </rPh>
    <phoneticPr fontId="2"/>
  </si>
  <si>
    <t>1出来高調書辺りの平均作業時間コスト</t>
    <rPh sb="1" eb="4">
      <t>デキダカ</t>
    </rPh>
    <rPh sb="4" eb="6">
      <t>チョウショ</t>
    </rPh>
    <rPh sb="6" eb="7">
      <t>アタ</t>
    </rPh>
    <rPh sb="9" eb="11">
      <t>ヘイキン</t>
    </rPh>
    <rPh sb="11" eb="13">
      <t>サギョウ</t>
    </rPh>
    <rPh sb="13" eb="15">
      <t>ジカン</t>
    </rPh>
    <phoneticPr fontId="2"/>
  </si>
  <si>
    <t>1出来高調書辺りの平均経費</t>
    <rPh sb="1" eb="4">
      <t>デキダカ</t>
    </rPh>
    <rPh sb="4" eb="6">
      <t>チョウショ</t>
    </rPh>
    <rPh sb="6" eb="7">
      <t>アタ</t>
    </rPh>
    <rPh sb="9" eb="11">
      <t>ヘイキン</t>
    </rPh>
    <rPh sb="11" eb="13">
      <t>ケイヒ</t>
    </rPh>
    <phoneticPr fontId="2"/>
  </si>
  <si>
    <t>出来高調書の年間コスト</t>
    <rPh sb="0" eb="3">
      <t>デキダカ</t>
    </rPh>
    <rPh sb="3" eb="5">
      <t>チョウショ</t>
    </rPh>
    <rPh sb="6" eb="8">
      <t>ネンカン</t>
    </rPh>
    <phoneticPr fontId="2"/>
  </si>
  <si>
    <t>出来高調書の年間の総コスト</t>
    <rPh sb="0" eb="3">
      <t>デキダカ</t>
    </rPh>
    <rPh sb="3" eb="5">
      <t>チョウショ</t>
    </rPh>
    <rPh sb="6" eb="8">
      <t>ネンカン</t>
    </rPh>
    <rPh sb="9" eb="10">
      <t>ソウ</t>
    </rPh>
    <phoneticPr fontId="2"/>
  </si>
  <si>
    <t>承認処理
※10分を想定</t>
    <rPh sb="0" eb="2">
      <t>ショウニン</t>
    </rPh>
    <rPh sb="2" eb="4">
      <t>ショリ</t>
    </rPh>
    <rPh sb="8" eb="9">
      <t>フン</t>
    </rPh>
    <rPh sb="10" eb="12">
      <t>ソウテイ</t>
    </rPh>
    <phoneticPr fontId="2"/>
  </si>
  <si>
    <t>出来高調書のコピー代
※2.6円/枚（白黒印刷）を想定</t>
    <rPh sb="0" eb="3">
      <t>デキダカ</t>
    </rPh>
    <rPh sb="3" eb="5">
      <t>チョウショ</t>
    </rPh>
    <rPh sb="9" eb="10">
      <t>ダイ</t>
    </rPh>
    <rPh sb="15" eb="16">
      <t>エン</t>
    </rPh>
    <rPh sb="17" eb="18">
      <t>マイ</t>
    </rPh>
    <rPh sb="19" eb="21">
      <t>シロクロ</t>
    </rPh>
    <rPh sb="21" eb="23">
      <t>インサツ</t>
    </rPh>
    <rPh sb="25" eb="27">
      <t>ソウテイ</t>
    </rPh>
    <phoneticPr fontId="2"/>
  </si>
  <si>
    <t>1出来高調書あたりの平均作業時間</t>
    <rPh sb="1" eb="4">
      <t>デキダカ</t>
    </rPh>
    <rPh sb="4" eb="6">
      <t>チョウショ</t>
    </rPh>
    <rPh sb="10" eb="12">
      <t>ヘイキン</t>
    </rPh>
    <rPh sb="12" eb="14">
      <t>サギョウ</t>
    </rPh>
    <rPh sb="14" eb="16">
      <t>ジカン</t>
    </rPh>
    <phoneticPr fontId="2"/>
  </si>
  <si>
    <t>1出来高調書あたりの平均作業コスト</t>
    <rPh sb="10" eb="12">
      <t>ヘイキン</t>
    </rPh>
    <rPh sb="12" eb="14">
      <t>サギョウ</t>
    </rPh>
    <phoneticPr fontId="2"/>
  </si>
  <si>
    <t>1出来高調書あたりの平均作業経費</t>
    <rPh sb="10" eb="12">
      <t>ヘイキン</t>
    </rPh>
    <rPh sb="12" eb="14">
      <t>サギョウ</t>
    </rPh>
    <rPh sb="14" eb="16">
      <t>ケイヒ</t>
    </rPh>
    <phoneticPr fontId="2"/>
  </si>
  <si>
    <t>年間請求件数</t>
    <rPh sb="0" eb="2">
      <t>ネンカン</t>
    </rPh>
    <rPh sb="2" eb="4">
      <t>セイキュウ</t>
    </rPh>
    <rPh sb="4" eb="6">
      <t>ケンスウ</t>
    </rPh>
    <phoneticPr fontId="2"/>
  </si>
  <si>
    <t>1請求書あたりの作業時間コスト、経費など</t>
    <rPh sb="8" eb="10">
      <t>サギョウ</t>
    </rPh>
    <rPh sb="10" eb="12">
      <t>ジカン</t>
    </rPh>
    <rPh sb="16" eb="18">
      <t>ケイヒ</t>
    </rPh>
    <phoneticPr fontId="2"/>
  </si>
  <si>
    <t>請求書のコピー代
※2.6円/枚（白黒印刷）を想定</t>
    <rPh sb="7" eb="8">
      <t>ダイ</t>
    </rPh>
    <rPh sb="13" eb="14">
      <t>エン</t>
    </rPh>
    <rPh sb="15" eb="16">
      <t>マイ</t>
    </rPh>
    <rPh sb="17" eb="19">
      <t>シロクロ</t>
    </rPh>
    <rPh sb="19" eb="21">
      <t>インサツ</t>
    </rPh>
    <rPh sb="23" eb="25">
      <t>ソウテイ</t>
    </rPh>
    <phoneticPr fontId="2"/>
  </si>
  <si>
    <t>1請求書辺りの平均作業時間コスト</t>
    <rPh sb="4" eb="5">
      <t>アタ</t>
    </rPh>
    <rPh sb="7" eb="9">
      <t>ヘイキン</t>
    </rPh>
    <rPh sb="9" eb="11">
      <t>サギョウ</t>
    </rPh>
    <rPh sb="11" eb="13">
      <t>ジカン</t>
    </rPh>
    <phoneticPr fontId="2"/>
  </si>
  <si>
    <t>1請求書あたりの平均作業時間</t>
    <rPh sb="8" eb="10">
      <t>ヘイキン</t>
    </rPh>
    <rPh sb="10" eb="12">
      <t>サギョウ</t>
    </rPh>
    <rPh sb="12" eb="14">
      <t>ジカン</t>
    </rPh>
    <phoneticPr fontId="2"/>
  </si>
  <si>
    <t>1請求書あたりの平均作業コスト</t>
    <rPh sb="8" eb="10">
      <t>ヘイキン</t>
    </rPh>
    <rPh sb="10" eb="12">
      <t>サギョウ</t>
    </rPh>
    <phoneticPr fontId="2"/>
  </si>
  <si>
    <t>1請求書辺りの平均経費</t>
    <rPh sb="4" eb="5">
      <t>アタ</t>
    </rPh>
    <rPh sb="7" eb="9">
      <t>ヘイキン</t>
    </rPh>
    <rPh sb="9" eb="11">
      <t>ケイヒ</t>
    </rPh>
    <phoneticPr fontId="2"/>
  </si>
  <si>
    <t>1請求書あたりの平均作業経費</t>
    <rPh sb="8" eb="10">
      <t>ヘイキン</t>
    </rPh>
    <rPh sb="10" eb="12">
      <t>サギョウ</t>
    </rPh>
    <rPh sb="12" eb="14">
      <t>ケイヒ</t>
    </rPh>
    <phoneticPr fontId="2"/>
  </si>
  <si>
    <t>請求書の年間コスト</t>
    <rPh sb="4" eb="6">
      <t>ネンカン</t>
    </rPh>
    <phoneticPr fontId="2"/>
  </si>
  <si>
    <t>請求書の年間の総コスト</t>
    <rPh sb="4" eb="6">
      <t>ネンカン</t>
    </rPh>
    <rPh sb="7" eb="8">
      <t>ソウ</t>
    </rPh>
    <phoneticPr fontId="2"/>
  </si>
  <si>
    <t>請求書の受け取り
※1分を想定</t>
    <rPh sb="4" eb="5">
      <t>ウ</t>
    </rPh>
    <rPh sb="6" eb="7">
      <t>ト</t>
    </rPh>
    <rPh sb="11" eb="12">
      <t>プン</t>
    </rPh>
    <rPh sb="13" eb="15">
      <t>ソウテイ</t>
    </rPh>
    <phoneticPr fontId="2"/>
  </si>
  <si>
    <t>請求書の内容確認
※3分を想定</t>
    <rPh sb="0" eb="3">
      <t>セイキュウショ</t>
    </rPh>
    <rPh sb="4" eb="6">
      <t>ナイヨウ</t>
    </rPh>
    <rPh sb="6" eb="8">
      <t>カクニン</t>
    </rPh>
    <rPh sb="11" eb="12">
      <t>フン</t>
    </rPh>
    <rPh sb="13" eb="15">
      <t>ソウテイ</t>
    </rPh>
    <phoneticPr fontId="2"/>
  </si>
  <si>
    <t>請求情報の入力時間
（現業務調査シートより平均時間を参照）</t>
    <rPh sb="0" eb="2">
      <t>１１０４</t>
    </rPh>
    <rPh sb="2" eb="4">
      <t>ジョウホウ</t>
    </rPh>
    <rPh sb="5" eb="7">
      <t>ニュウリョク</t>
    </rPh>
    <rPh sb="7" eb="9">
      <t>ジカン</t>
    </rPh>
    <rPh sb="11" eb="12">
      <t>ウツツ</t>
    </rPh>
    <rPh sb="12" eb="14">
      <t>ギョウム</t>
    </rPh>
    <rPh sb="14" eb="16">
      <t>チョウサ</t>
    </rPh>
    <rPh sb="21" eb="23">
      <t>ヘイキン</t>
    </rPh>
    <rPh sb="23" eb="25">
      <t>ジカン</t>
    </rPh>
    <rPh sb="26" eb="28">
      <t>サンショウ</t>
    </rPh>
    <phoneticPr fontId="2"/>
  </si>
  <si>
    <t>封書・宛名書き（経理部門へ送付）
※3分を想定</t>
    <rPh sb="0" eb="2">
      <t>フウショ</t>
    </rPh>
    <rPh sb="3" eb="6">
      <t>アテナガ</t>
    </rPh>
    <rPh sb="8" eb="10">
      <t>ケイリ</t>
    </rPh>
    <rPh sb="10" eb="12">
      <t>ブモン</t>
    </rPh>
    <rPh sb="13" eb="15">
      <t>ソウフ</t>
    </rPh>
    <rPh sb="19" eb="20">
      <t>フン</t>
    </rPh>
    <rPh sb="21" eb="23">
      <t>ソウテイ</t>
    </rPh>
    <phoneticPr fontId="2"/>
  </si>
  <si>
    <t>請求書保管
※3分を想定</t>
    <rPh sb="0" eb="3">
      <t>セイキュウショ</t>
    </rPh>
    <rPh sb="3" eb="5">
      <t>ホカン</t>
    </rPh>
    <rPh sb="8" eb="9">
      <t>フン</t>
    </rPh>
    <rPh sb="10" eb="12">
      <t>ソウテイ</t>
    </rPh>
    <phoneticPr fontId="2"/>
  </si>
  <si>
    <t>原本保管の年間コスト</t>
    <rPh sb="0" eb="2">
      <t>ゲンポン</t>
    </rPh>
    <rPh sb="2" eb="4">
      <t>ホカン</t>
    </rPh>
    <rPh sb="5" eb="7">
      <t>ネンカン</t>
    </rPh>
    <phoneticPr fontId="2"/>
  </si>
  <si>
    <t>ダンボール箱への箱詰め
※3分を想定</t>
    <rPh sb="5" eb="6">
      <t>ハコ</t>
    </rPh>
    <rPh sb="8" eb="10">
      <t>ハコヅ</t>
    </rPh>
    <rPh sb="14" eb="15">
      <t>プン</t>
    </rPh>
    <rPh sb="16" eb="18">
      <t>ソウテイ</t>
    </rPh>
    <phoneticPr fontId="2"/>
  </si>
  <si>
    <t>保管場所まで持ち運び
※15分を想定</t>
    <rPh sb="0" eb="2">
      <t>ホカン</t>
    </rPh>
    <rPh sb="2" eb="4">
      <t>バショ</t>
    </rPh>
    <rPh sb="6" eb="7">
      <t>モ</t>
    </rPh>
    <rPh sb="8" eb="9">
      <t>ハコ</t>
    </rPh>
    <rPh sb="14" eb="15">
      <t>フン</t>
    </rPh>
    <rPh sb="16" eb="18">
      <t>ソウテイ</t>
    </rPh>
    <phoneticPr fontId="2"/>
  </si>
  <si>
    <t>原本保管（年間）</t>
    <rPh sb="0" eb="2">
      <t>ゲンポン</t>
    </rPh>
    <rPh sb="2" eb="4">
      <t>ホカン</t>
    </rPh>
    <rPh sb="5" eb="7">
      <t>ネンカン</t>
    </rPh>
    <phoneticPr fontId="2"/>
  </si>
  <si>
    <t>配送料
※1回1,000円を想定</t>
    <rPh sb="0" eb="2">
      <t>ハイソウ</t>
    </rPh>
    <rPh sb="2" eb="3">
      <t>リョウ</t>
    </rPh>
    <rPh sb="6" eb="7">
      <t>カイ</t>
    </rPh>
    <rPh sb="12" eb="13">
      <t>エン</t>
    </rPh>
    <rPh sb="14" eb="16">
      <t>ソウテイ</t>
    </rPh>
    <phoneticPr fontId="2"/>
  </si>
  <si>
    <t>保管料
※100円/月。社内は保管場所代を想定</t>
    <rPh sb="0" eb="2">
      <t>ホカン</t>
    </rPh>
    <rPh sb="2" eb="3">
      <t>リョウ</t>
    </rPh>
    <rPh sb="8" eb="9">
      <t>エン</t>
    </rPh>
    <rPh sb="10" eb="11">
      <t>ツキ</t>
    </rPh>
    <rPh sb="12" eb="14">
      <t>シャナイ</t>
    </rPh>
    <rPh sb="15" eb="17">
      <t>ホカン</t>
    </rPh>
    <rPh sb="17" eb="19">
      <t>バショ</t>
    </rPh>
    <rPh sb="19" eb="20">
      <t>ダイ</t>
    </rPh>
    <rPh sb="21" eb="23">
      <t>ソウテイ</t>
    </rPh>
    <phoneticPr fontId="2"/>
  </si>
  <si>
    <t>荷受・払出・情報更新料
※100円/回、月1回参照を想定</t>
    <rPh sb="0" eb="2">
      <t>ニウケ</t>
    </rPh>
    <rPh sb="3" eb="5">
      <t>ハライダシ</t>
    </rPh>
    <rPh sb="6" eb="8">
      <t>ジョウホウ</t>
    </rPh>
    <rPh sb="8" eb="11">
      <t>コウシンリョウ</t>
    </rPh>
    <rPh sb="16" eb="17">
      <t>エン</t>
    </rPh>
    <rPh sb="18" eb="19">
      <t>カイ</t>
    </rPh>
    <rPh sb="20" eb="21">
      <t>ツキ</t>
    </rPh>
    <rPh sb="22" eb="23">
      <t>カイ</t>
    </rPh>
    <rPh sb="23" eb="25">
      <t>サンショウ</t>
    </rPh>
    <rPh sb="26" eb="28">
      <t>ソウテイ</t>
    </rPh>
    <phoneticPr fontId="2"/>
  </si>
  <si>
    <t>（ア）</t>
    <phoneticPr fontId="2"/>
  </si>
  <si>
    <t>郵送
（一般封筒）</t>
    <phoneticPr fontId="2"/>
  </si>
  <si>
    <t>見積回答の年間の総コスト</t>
    <rPh sb="0" eb="2">
      <t>ミツモリ</t>
    </rPh>
    <rPh sb="2" eb="4">
      <t>カイトウ</t>
    </rPh>
    <rPh sb="5" eb="7">
      <t>ネンカン</t>
    </rPh>
    <rPh sb="8" eb="9">
      <t>ソウ</t>
    </rPh>
    <phoneticPr fontId="2"/>
  </si>
  <si>
    <t>1契約に対して発生する作業時間コスト</t>
    <rPh sb="1" eb="3">
      <t>ケイヤク</t>
    </rPh>
    <rPh sb="4" eb="5">
      <t>タイ</t>
    </rPh>
    <rPh sb="7" eb="9">
      <t>ハッセイ</t>
    </rPh>
    <rPh sb="11" eb="13">
      <t>サギョウ</t>
    </rPh>
    <rPh sb="13" eb="15">
      <t>ジカン</t>
    </rPh>
    <phoneticPr fontId="2"/>
  </si>
  <si>
    <t>　　　　　　　　：作業時間コスト（参考値）</t>
    <rPh sb="9" eb="11">
      <t>サギョウ</t>
    </rPh>
    <rPh sb="11" eb="13">
      <t>ジカン</t>
    </rPh>
    <rPh sb="17" eb="19">
      <t>サンコウ</t>
    </rPh>
    <rPh sb="19" eb="20">
      <t>アタイ</t>
    </rPh>
    <phoneticPr fontId="2"/>
  </si>
  <si>
    <t>1見積に対して発生する作業時間コスト</t>
    <rPh sb="1" eb="3">
      <t>ミツモリ</t>
    </rPh>
    <rPh sb="4" eb="5">
      <t>タイ</t>
    </rPh>
    <rPh sb="7" eb="9">
      <t>ハッセイ</t>
    </rPh>
    <rPh sb="11" eb="13">
      <t>サギョウ</t>
    </rPh>
    <rPh sb="13" eb="15">
      <t>ジカン</t>
    </rPh>
    <phoneticPr fontId="2"/>
  </si>
  <si>
    <t>1見積あたりの平均作業時間</t>
    <rPh sb="7" eb="9">
      <t>ヘイキン</t>
    </rPh>
    <rPh sb="9" eb="11">
      <t>サギョウ</t>
    </rPh>
    <rPh sb="11" eb="13">
      <t>ジカン</t>
    </rPh>
    <phoneticPr fontId="2"/>
  </si>
  <si>
    <t>１）.取引に関する書類量調査(年間書類量）</t>
    <rPh sb="3" eb="5">
      <t>トリヒキ</t>
    </rPh>
    <rPh sb="6" eb="7">
      <t>カン</t>
    </rPh>
    <rPh sb="9" eb="11">
      <t>ショルイ</t>
    </rPh>
    <rPh sb="11" eb="12">
      <t>リョウ</t>
    </rPh>
    <rPh sb="12" eb="14">
      <t>チョウサ</t>
    </rPh>
    <rPh sb="15" eb="17">
      <t>ネンカン</t>
    </rPh>
    <rPh sb="17" eb="19">
      <t>ショルイ</t>
    </rPh>
    <rPh sb="19" eb="20">
      <t>リョウ</t>
    </rPh>
    <phoneticPr fontId="2"/>
  </si>
  <si>
    <t>業務量書類調査シートより</t>
    <rPh sb="0" eb="2">
      <t>ギョウム</t>
    </rPh>
    <rPh sb="2" eb="3">
      <t>リョウ</t>
    </rPh>
    <rPh sb="3" eb="5">
      <t>ショルイ</t>
    </rPh>
    <rPh sb="5" eb="7">
      <t>チョウサ</t>
    </rPh>
    <phoneticPr fontId="2"/>
  </si>
  <si>
    <t>注文件数</t>
    <rPh sb="0" eb="2">
      <t>チュウモン</t>
    </rPh>
    <rPh sb="2" eb="4">
      <t>ケンスウ</t>
    </rPh>
    <phoneticPr fontId="2"/>
  </si>
  <si>
    <t>請求件数</t>
    <rPh sb="0" eb="2">
      <t>セイキュウ</t>
    </rPh>
    <rPh sb="2" eb="4">
      <t>ケンスウ</t>
    </rPh>
    <phoneticPr fontId="2"/>
  </si>
  <si>
    <t>　うち、契約・契約外の割合</t>
    <rPh sb="4" eb="6">
      <t>ケイヤク</t>
    </rPh>
    <rPh sb="7" eb="9">
      <t>ケイヤク</t>
    </rPh>
    <rPh sb="9" eb="10">
      <t>ガイ</t>
    </rPh>
    <rPh sb="11" eb="13">
      <t>ワリアイ</t>
    </rPh>
    <phoneticPr fontId="2"/>
  </si>
  <si>
    <t>２）.各業務量調査</t>
    <rPh sb="3" eb="4">
      <t>カク</t>
    </rPh>
    <rPh sb="4" eb="6">
      <t>ギョウム</t>
    </rPh>
    <rPh sb="6" eb="7">
      <t>リョウ</t>
    </rPh>
    <rPh sb="7" eb="9">
      <t>チョウサ</t>
    </rPh>
    <phoneticPr fontId="2"/>
  </si>
  <si>
    <t>現業務調査シートより</t>
    <rPh sb="0" eb="1">
      <t>ゲン</t>
    </rPh>
    <rPh sb="1" eb="3">
      <t>ギョウム</t>
    </rPh>
    <rPh sb="3" eb="5">
      <t>チョウサ</t>
    </rPh>
    <phoneticPr fontId="2"/>
  </si>
  <si>
    <t>導入後効果予測シートより</t>
    <rPh sb="0" eb="2">
      <t>ドウニュウ</t>
    </rPh>
    <rPh sb="2" eb="3">
      <t>ゴ</t>
    </rPh>
    <rPh sb="3" eb="5">
      <t>コウカ</t>
    </rPh>
    <rPh sb="5" eb="7">
      <t>ヨソク</t>
    </rPh>
    <phoneticPr fontId="2"/>
  </si>
  <si>
    <t>入手手段</t>
    <rPh sb="0" eb="2">
      <t>ニュウシュ</t>
    </rPh>
    <rPh sb="2" eb="4">
      <t>シュダン</t>
    </rPh>
    <phoneticPr fontId="2"/>
  </si>
  <si>
    <t>購買見積回答</t>
    <rPh sb="0" eb="6">
      <t>０３０２</t>
    </rPh>
    <phoneticPr fontId="2"/>
  </si>
  <si>
    <t>作成時間</t>
    <rPh sb="0" eb="2">
      <t>サクセイ</t>
    </rPh>
    <rPh sb="2" eb="4">
      <t>ジカン</t>
    </rPh>
    <phoneticPr fontId="2"/>
  </si>
  <si>
    <t>システムから情報を出力</t>
    <rPh sb="6" eb="8">
      <t>ジョウホウ</t>
    </rPh>
    <rPh sb="9" eb="11">
      <t>シュツリョク</t>
    </rPh>
    <phoneticPr fontId="2"/>
  </si>
  <si>
    <t>専用システム、表計算ソフトで作成</t>
    <rPh sb="0" eb="2">
      <t>センヨウ</t>
    </rPh>
    <rPh sb="7" eb="10">
      <t>ヒョウケイサン</t>
    </rPh>
    <rPh sb="14" eb="16">
      <t>サクセイ</t>
    </rPh>
    <phoneticPr fontId="2"/>
  </si>
  <si>
    <t>書面で作成</t>
    <rPh sb="0" eb="2">
      <t>ショメン</t>
    </rPh>
    <rPh sb="3" eb="5">
      <t>サクセイ</t>
    </rPh>
    <phoneticPr fontId="2"/>
  </si>
  <si>
    <t>発注者への送付形式</t>
    <rPh sb="0" eb="3">
      <t>ハッチュウシャ</t>
    </rPh>
    <rPh sb="5" eb="7">
      <t>ソウフ</t>
    </rPh>
    <rPh sb="7" eb="9">
      <t>ケイシキ</t>
    </rPh>
    <phoneticPr fontId="2"/>
  </si>
  <si>
    <t>契約情報のシステムへの入力時間</t>
    <rPh sb="0" eb="2">
      <t>ケイヤク</t>
    </rPh>
    <rPh sb="2" eb="4">
      <t>ジョウホウ</t>
    </rPh>
    <rPh sb="11" eb="13">
      <t>ニュウリョク</t>
    </rPh>
    <rPh sb="13" eb="15">
      <t>ジカン</t>
    </rPh>
    <phoneticPr fontId="2"/>
  </si>
  <si>
    <t>紙面のまま利用</t>
    <rPh sb="0" eb="2">
      <t>シメン</t>
    </rPh>
    <rPh sb="5" eb="7">
      <t>リヨウ</t>
    </rPh>
    <phoneticPr fontId="2"/>
  </si>
  <si>
    <t>その他費用
初期費</t>
    <rPh sb="2" eb="3">
      <t>タ</t>
    </rPh>
    <rPh sb="3" eb="5">
      <t>ヒヨウ</t>
    </rPh>
    <rPh sb="6" eb="8">
      <t>ショキ</t>
    </rPh>
    <rPh sb="8" eb="9">
      <t>ヒ</t>
    </rPh>
    <phoneticPr fontId="2"/>
  </si>
  <si>
    <t>その他費用
年額費</t>
    <rPh sb="2" eb="3">
      <t>タ</t>
    </rPh>
    <rPh sb="3" eb="5">
      <t>ヒヨウ</t>
    </rPh>
    <rPh sb="6" eb="8">
      <t>ネンガク</t>
    </rPh>
    <rPh sb="8" eb="9">
      <t>ヒ</t>
    </rPh>
    <phoneticPr fontId="2"/>
  </si>
  <si>
    <t>合計金額をシステムに入力</t>
    <rPh sb="0" eb="2">
      <t>ゴウケイ</t>
    </rPh>
    <rPh sb="2" eb="4">
      <t>キンガク</t>
    </rPh>
    <phoneticPr fontId="2"/>
  </si>
  <si>
    <t>内訳の単価をシステムに入力</t>
    <rPh sb="0" eb="2">
      <t>ウチワケ</t>
    </rPh>
    <rPh sb="3" eb="5">
      <t>タンカ</t>
    </rPh>
    <phoneticPr fontId="2"/>
  </si>
  <si>
    <t>鑑と明細情報をシステムに入力</t>
    <rPh sb="0" eb="1">
      <t>カガミ</t>
    </rPh>
    <rPh sb="2" eb="4">
      <t>メイサイ</t>
    </rPh>
    <rPh sb="4" eb="6">
      <t>ジョウホウ</t>
    </rPh>
    <rPh sb="12" eb="14">
      <t>ニュウリョク</t>
    </rPh>
    <phoneticPr fontId="2"/>
  </si>
  <si>
    <t>出来高の確認について</t>
    <rPh sb="0" eb="3">
      <t>デキダカ</t>
    </rPh>
    <rPh sb="4" eb="6">
      <t>カクニン</t>
    </rPh>
    <phoneticPr fontId="2"/>
  </si>
  <si>
    <t>入力方法</t>
    <rPh sb="0" eb="2">
      <t>ニュウリョク</t>
    </rPh>
    <rPh sb="2" eb="4">
      <t>ホウホウ</t>
    </rPh>
    <phoneticPr fontId="2"/>
  </si>
  <si>
    <t>平均(初回）</t>
    <rPh sb="0" eb="2">
      <t>ヘイキン</t>
    </rPh>
    <rPh sb="3" eb="5">
      <t>ショカイ</t>
    </rPh>
    <phoneticPr fontId="2"/>
  </si>
  <si>
    <t>(２回目以降）</t>
    <rPh sb="2" eb="4">
      <t>カイメ</t>
    </rPh>
    <rPh sb="4" eb="6">
      <t>イコウ</t>
    </rPh>
    <phoneticPr fontId="2"/>
  </si>
  <si>
    <t>1回の折衝に係る時間はどれくらいですか</t>
    <rPh sb="1" eb="2">
      <t>カイ</t>
    </rPh>
    <rPh sb="3" eb="5">
      <t>セッショウ</t>
    </rPh>
    <rPh sb="6" eb="7">
      <t>カカ</t>
    </rPh>
    <rPh sb="8" eb="10">
      <t>ジカン</t>
    </rPh>
    <phoneticPr fontId="2"/>
  </si>
  <si>
    <t>３）.予想電子化率調査</t>
    <rPh sb="3" eb="5">
      <t>ヨソウ</t>
    </rPh>
    <rPh sb="5" eb="8">
      <t>デンシカ</t>
    </rPh>
    <rPh sb="8" eb="9">
      <t>リツ</t>
    </rPh>
    <rPh sb="9" eb="11">
      <t>チョウサ</t>
    </rPh>
    <phoneticPr fontId="2"/>
  </si>
  <si>
    <t>FAX</t>
    <phoneticPr fontId="2"/>
  </si>
  <si>
    <t>出来高の数量の決定</t>
    <phoneticPr fontId="2"/>
  </si>
  <si>
    <t>　[0=取引業者が提示、1=取引業者と協議]</t>
    <phoneticPr fontId="2"/>
  </si>
  <si>
    <t>折衝方法</t>
    <phoneticPr fontId="2"/>
  </si>
  <si>
    <t>　[0=対面、1=FAX後に電話、2=郵送後に電話、3=その他]</t>
    <phoneticPr fontId="2"/>
  </si>
  <si>
    <t>調査シート結果一覧（発注者）</t>
    <rPh sb="0" eb="2">
      <t>チョウサ</t>
    </rPh>
    <rPh sb="5" eb="7">
      <t>ケッカ</t>
    </rPh>
    <rPh sb="7" eb="9">
      <t>イチラン</t>
    </rPh>
    <rPh sb="10" eb="13">
      <t>ハッチュウシャ</t>
    </rPh>
    <phoneticPr fontId="2"/>
  </si>
  <si>
    <t>相見積り社数</t>
    <rPh sb="0" eb="1">
      <t>アイ</t>
    </rPh>
    <rPh sb="1" eb="3">
      <t>ミツモリ</t>
    </rPh>
    <rPh sb="4" eb="5">
      <t>シャ</t>
    </rPh>
    <rPh sb="5" eb="6">
      <t>スウ</t>
    </rPh>
    <phoneticPr fontId="2"/>
  </si>
  <si>
    <t>紙媒体（紙・FAXなど）</t>
    <rPh sb="0" eb="1">
      <t>カミ</t>
    </rPh>
    <rPh sb="1" eb="3">
      <t>バイタイ</t>
    </rPh>
    <rPh sb="4" eb="5">
      <t>カミ</t>
    </rPh>
    <phoneticPr fontId="2"/>
  </si>
  <si>
    <t>電子媒体（表計算・CSV形式など）</t>
    <rPh sb="0" eb="2">
      <t>デンシ</t>
    </rPh>
    <rPh sb="2" eb="4">
      <t>バイタイ</t>
    </rPh>
    <rPh sb="5" eb="8">
      <t>ヒョウケイサン</t>
    </rPh>
    <rPh sb="12" eb="14">
      <t>ケイシキ</t>
    </rPh>
    <phoneticPr fontId="2"/>
  </si>
  <si>
    <t>請書入手手段</t>
    <rPh sb="0" eb="2">
      <t>ウケショ</t>
    </rPh>
    <rPh sb="2" eb="4">
      <t>ニュウシュ</t>
    </rPh>
    <rPh sb="4" eb="6">
      <t>シュダン</t>
    </rPh>
    <phoneticPr fontId="2"/>
  </si>
  <si>
    <t>システムに入力</t>
    <rPh sb="5" eb="7">
      <t>ニュウリョク</t>
    </rPh>
    <phoneticPr fontId="2"/>
  </si>
  <si>
    <t>専用システム・表計算ソフト等に入力</t>
    <rPh sb="0" eb="2">
      <t>センヨウ</t>
    </rPh>
    <rPh sb="7" eb="10">
      <t>ヒョウケイサン</t>
    </rPh>
    <rPh sb="13" eb="14">
      <t>トウ</t>
    </rPh>
    <rPh sb="15" eb="17">
      <t>ニュウリョク</t>
    </rPh>
    <phoneticPr fontId="2"/>
  </si>
  <si>
    <t>入力を行わない</t>
    <rPh sb="0" eb="2">
      <t>ニュウリョク</t>
    </rPh>
    <rPh sb="3" eb="4">
      <t>オコナ</t>
    </rPh>
    <phoneticPr fontId="2"/>
  </si>
  <si>
    <t>見積比較時間</t>
    <rPh sb="0" eb="2">
      <t>ミツモリ</t>
    </rPh>
    <rPh sb="2" eb="4">
      <t>ヒカク</t>
    </rPh>
    <rPh sb="4" eb="6">
      <t>ジカン</t>
    </rPh>
    <phoneticPr fontId="2"/>
  </si>
  <si>
    <t>1見積あたりの平均作業コスト</t>
    <rPh sb="7" eb="9">
      <t>ヘイキン</t>
    </rPh>
    <rPh sb="9" eb="11">
      <t>サギョウ</t>
    </rPh>
    <phoneticPr fontId="2"/>
  </si>
  <si>
    <t>1見積辺りの作業時間コスト、経費など</t>
    <rPh sb="1" eb="3">
      <t>ミツモリ</t>
    </rPh>
    <rPh sb="3" eb="4">
      <t>アタ</t>
    </rPh>
    <rPh sb="6" eb="8">
      <t>サギョウ</t>
    </rPh>
    <rPh sb="8" eb="10">
      <t>ジカン</t>
    </rPh>
    <rPh sb="14" eb="16">
      <t>ケイヒ</t>
    </rPh>
    <phoneticPr fontId="2"/>
  </si>
  <si>
    <t>1契約辺りの作業時間コスト、経費など</t>
    <rPh sb="1" eb="3">
      <t>ケイヤク</t>
    </rPh>
    <rPh sb="3" eb="4">
      <t>アタ</t>
    </rPh>
    <rPh sb="6" eb="8">
      <t>サギョウ</t>
    </rPh>
    <rPh sb="8" eb="10">
      <t>ジカン</t>
    </rPh>
    <rPh sb="14" eb="16">
      <t>ケイヒ</t>
    </rPh>
    <phoneticPr fontId="2"/>
  </si>
  <si>
    <t>1見積辺りの平均作業時間コスト</t>
    <rPh sb="1" eb="3">
      <t>ミツモリ</t>
    </rPh>
    <rPh sb="3" eb="4">
      <t>アタ</t>
    </rPh>
    <rPh sb="6" eb="8">
      <t>ヘイキン</t>
    </rPh>
    <rPh sb="8" eb="10">
      <t>サギョウ</t>
    </rPh>
    <rPh sb="10" eb="12">
      <t>ジカン</t>
    </rPh>
    <phoneticPr fontId="2"/>
  </si>
  <si>
    <t>作業時間コスト</t>
    <phoneticPr fontId="2"/>
  </si>
  <si>
    <t>作業時間コスト</t>
    <phoneticPr fontId="2"/>
  </si>
  <si>
    <t>1見積あたりの作業時間コスト、経費など</t>
    <rPh sb="1" eb="3">
      <t>ミツモリ</t>
    </rPh>
    <rPh sb="7" eb="9">
      <t>サギョウ</t>
    </rPh>
    <rPh sb="9" eb="11">
      <t>ジカン</t>
    </rPh>
    <rPh sb="15" eb="17">
      <t>ケイヒ</t>
    </rPh>
    <phoneticPr fontId="2"/>
  </si>
  <si>
    <t>見積回答書の印刷代
※2.6円/枚（白黒印刷）を想定</t>
    <rPh sb="0" eb="2">
      <t>ミツモリ</t>
    </rPh>
    <rPh sb="2" eb="4">
      <t>カイトウ</t>
    </rPh>
    <rPh sb="4" eb="5">
      <t>ショ</t>
    </rPh>
    <rPh sb="6" eb="8">
      <t>インサツ</t>
    </rPh>
    <rPh sb="8" eb="9">
      <t>ダイ</t>
    </rPh>
    <rPh sb="14" eb="15">
      <t>エン</t>
    </rPh>
    <rPh sb="16" eb="17">
      <t>マイ</t>
    </rPh>
    <rPh sb="18" eb="20">
      <t>シロクロ</t>
    </rPh>
    <rPh sb="20" eb="22">
      <t>インサツ</t>
    </rPh>
    <rPh sb="24" eb="26">
      <t>ソウテイ</t>
    </rPh>
    <phoneticPr fontId="2"/>
  </si>
  <si>
    <t>1見積に対して発生する経費など</t>
    <rPh sb="1" eb="3">
      <t>ミツモリ</t>
    </rPh>
    <rPh sb="4" eb="5">
      <t>タイ</t>
    </rPh>
    <rPh sb="7" eb="9">
      <t>ハッセイ</t>
    </rPh>
    <rPh sb="11" eb="13">
      <t>ケイヒ</t>
    </rPh>
    <phoneticPr fontId="2"/>
  </si>
  <si>
    <t>■初期費・年額費など</t>
    <rPh sb="1" eb="3">
      <t>ショキ</t>
    </rPh>
    <rPh sb="3" eb="4">
      <t>ヒ</t>
    </rPh>
    <rPh sb="5" eb="7">
      <t>ネンガク</t>
    </rPh>
    <rPh sb="7" eb="8">
      <t>ヒ</t>
    </rPh>
    <phoneticPr fontId="2"/>
  </si>
  <si>
    <t>■教育費・問合せ要員費など</t>
    <rPh sb="1" eb="4">
      <t>キョウイクヒ</t>
    </rPh>
    <rPh sb="5" eb="7">
      <t>トイアワ</t>
    </rPh>
    <rPh sb="8" eb="10">
      <t>ヨウイン</t>
    </rPh>
    <rPh sb="10" eb="11">
      <t>ヒ</t>
    </rPh>
    <phoneticPr fontId="2"/>
  </si>
  <si>
    <t>見積比較にかける時間の平均
（現業務調査シートより参照）</t>
    <rPh sb="0" eb="2">
      <t>ミツモリ</t>
    </rPh>
    <rPh sb="2" eb="4">
      <t>ヒカク</t>
    </rPh>
    <rPh sb="8" eb="10">
      <t>ジカン</t>
    </rPh>
    <rPh sb="11" eb="13">
      <t>ヘイキン</t>
    </rPh>
    <rPh sb="15" eb="16">
      <t>ゲン</t>
    </rPh>
    <rPh sb="16" eb="18">
      <t>ギョウム</t>
    </rPh>
    <rPh sb="18" eb="20">
      <t>チョウサ</t>
    </rPh>
    <rPh sb="25" eb="27">
      <t>サンショウ</t>
    </rPh>
    <phoneticPr fontId="2"/>
  </si>
  <si>
    <t>単価折衝にかける時間の平均
（現業務調査シートより参照）</t>
    <rPh sb="0" eb="2">
      <t>タンカ</t>
    </rPh>
    <rPh sb="2" eb="4">
      <t>セッショウ</t>
    </rPh>
    <rPh sb="8" eb="10">
      <t>ジカン</t>
    </rPh>
    <rPh sb="11" eb="13">
      <t>ヘイキン</t>
    </rPh>
    <rPh sb="15" eb="16">
      <t>ゲン</t>
    </rPh>
    <rPh sb="16" eb="18">
      <t>ギョウム</t>
    </rPh>
    <rPh sb="18" eb="20">
      <t>チョウサ</t>
    </rPh>
    <rPh sb="25" eb="27">
      <t>サンショウ</t>
    </rPh>
    <phoneticPr fontId="2"/>
  </si>
  <si>
    <t>見積回答書保管
※5分を想定</t>
    <rPh sb="0" eb="2">
      <t>ミツモリ</t>
    </rPh>
    <rPh sb="2" eb="4">
      <t>カイトウ</t>
    </rPh>
    <rPh sb="4" eb="5">
      <t>ショ</t>
    </rPh>
    <rPh sb="5" eb="7">
      <t>ホカン</t>
    </rPh>
    <rPh sb="10" eb="11">
      <t>フン</t>
    </rPh>
    <rPh sb="12" eb="14">
      <t>ソウテイ</t>
    </rPh>
    <phoneticPr fontId="2"/>
  </si>
  <si>
    <t>見積回答の年間コスト</t>
    <rPh sb="0" eb="2">
      <t>ミツモリ</t>
    </rPh>
    <rPh sb="2" eb="4">
      <t>カイトウ</t>
    </rPh>
    <rPh sb="5" eb="7">
      <t>ネンカン</t>
    </rPh>
    <phoneticPr fontId="2"/>
  </si>
  <si>
    <t>契約（注文書の発行）</t>
    <rPh sb="0" eb="2">
      <t>ケイヤク</t>
    </rPh>
    <rPh sb="3" eb="5">
      <t>チュウモン</t>
    </rPh>
    <rPh sb="5" eb="6">
      <t>ショ</t>
    </rPh>
    <rPh sb="7" eb="9">
      <t>ハッコウ</t>
    </rPh>
    <phoneticPr fontId="2"/>
  </si>
  <si>
    <t>FAX</t>
    <phoneticPr fontId="2"/>
  </si>
  <si>
    <t>見積回答情報の入力時間
（現業務調査シートより平均時間を参照）</t>
    <rPh sb="0" eb="2">
      <t>ミツモリ</t>
    </rPh>
    <rPh sb="2" eb="4">
      <t>カイトウ</t>
    </rPh>
    <rPh sb="4" eb="6">
      <t>ジョウホウ</t>
    </rPh>
    <rPh sb="7" eb="9">
      <t>ニュウリョク</t>
    </rPh>
    <rPh sb="9" eb="11">
      <t>ジカン</t>
    </rPh>
    <rPh sb="13" eb="14">
      <t>ゲン</t>
    </rPh>
    <rPh sb="14" eb="16">
      <t>ギョウム</t>
    </rPh>
    <rPh sb="16" eb="18">
      <t>チョウサ</t>
    </rPh>
    <rPh sb="23" eb="25">
      <t>ヘイキン</t>
    </rPh>
    <rPh sb="25" eb="27">
      <t>ジカン</t>
    </rPh>
    <rPh sb="28" eb="30">
      <t>サンショウ</t>
    </rPh>
    <phoneticPr fontId="2"/>
  </si>
  <si>
    <t>【電子化後】</t>
  </si>
  <si>
    <t>請求</t>
  </si>
  <si>
    <t>出来高調書・出来高査定</t>
  </si>
  <si>
    <t>契約（注文書の受け取り）</t>
  </si>
  <si>
    <t>契約（注文書の発行）</t>
  </si>
  <si>
    <t>購買見積回答・見積比較</t>
  </si>
  <si>
    <t>購買見積依頼</t>
  </si>
  <si>
    <t>※購買、出来高開始時期に発生すると想定</t>
  </si>
  <si>
    <t>※毎年発生するものと想定</t>
  </si>
  <si>
    <t>書類１枚あたりの導入前平均コスト</t>
    <rPh sb="0" eb="2">
      <t>ショルイ</t>
    </rPh>
    <rPh sb="3" eb="4">
      <t>マイ</t>
    </rPh>
    <rPh sb="8" eb="10">
      <t>ドウニュウ</t>
    </rPh>
    <rPh sb="10" eb="11">
      <t>マエ</t>
    </rPh>
    <rPh sb="11" eb="13">
      <t>ヘイキン</t>
    </rPh>
    <phoneticPr fontId="2"/>
  </si>
  <si>
    <t>書類１枚あたりの電子化後予想平均コスト（電子化率100%の場合）</t>
    <rPh sb="0" eb="2">
      <t>ショルイ</t>
    </rPh>
    <rPh sb="3" eb="4">
      <t>マイ</t>
    </rPh>
    <rPh sb="8" eb="11">
      <t>デンシカ</t>
    </rPh>
    <rPh sb="11" eb="12">
      <t>ゴ</t>
    </rPh>
    <rPh sb="12" eb="14">
      <t>ヨソウ</t>
    </rPh>
    <rPh sb="14" eb="16">
      <t>ヘイキン</t>
    </rPh>
    <rPh sb="20" eb="23">
      <t>デンシカ</t>
    </rPh>
    <rPh sb="23" eb="24">
      <t>リツ</t>
    </rPh>
    <rPh sb="29" eb="31">
      <t>バアイ</t>
    </rPh>
    <phoneticPr fontId="2"/>
  </si>
  <si>
    <t>作業時間
（分）</t>
    <rPh sb="6" eb="7">
      <t>フン</t>
    </rPh>
    <phoneticPr fontId="2"/>
  </si>
  <si>
    <t>経費等
（円）</t>
    <rPh sb="2" eb="3">
      <t>ナド</t>
    </rPh>
    <rPh sb="5" eb="6">
      <t>エン</t>
    </rPh>
    <phoneticPr fontId="2"/>
  </si>
  <si>
    <t>作業時間
電子化の差</t>
    <rPh sb="0" eb="2">
      <t>サギョウ</t>
    </rPh>
    <rPh sb="2" eb="4">
      <t>ジカン</t>
    </rPh>
    <rPh sb="5" eb="8">
      <t>デンシカ</t>
    </rPh>
    <rPh sb="9" eb="10">
      <t>サ</t>
    </rPh>
    <phoneticPr fontId="2"/>
  </si>
  <si>
    <t>経費
電子化の差</t>
    <rPh sb="0" eb="2">
      <t>ケイヒ</t>
    </rPh>
    <rPh sb="3" eb="6">
      <t>デンシカ</t>
    </rPh>
    <rPh sb="7" eb="8">
      <t>サ</t>
    </rPh>
    <phoneticPr fontId="2"/>
  </si>
  <si>
    <t>現業務別コスト結果・導入後コスト報告</t>
    <rPh sb="0" eb="1">
      <t>ウツツ</t>
    </rPh>
    <rPh sb="1" eb="3">
      <t>ギョウム</t>
    </rPh>
    <rPh sb="3" eb="4">
      <t>ベツ</t>
    </rPh>
    <rPh sb="7" eb="9">
      <t>ケッカ</t>
    </rPh>
    <rPh sb="10" eb="12">
      <t>ドウニュウ</t>
    </rPh>
    <rPh sb="12" eb="13">
      <t>ゴ</t>
    </rPh>
    <rPh sb="16" eb="18">
      <t>ホウコク</t>
    </rPh>
    <phoneticPr fontId="2"/>
  </si>
  <si>
    <t>現状の１業務毎のコスト調査結果</t>
    <rPh sb="0" eb="2">
      <t>ゲンジョウ</t>
    </rPh>
    <rPh sb="4" eb="6">
      <t>ギョウム</t>
    </rPh>
    <rPh sb="6" eb="7">
      <t>マイ</t>
    </rPh>
    <rPh sb="11" eb="13">
      <t>チョウサ</t>
    </rPh>
    <rPh sb="13" eb="15">
      <t>ケッカ</t>
    </rPh>
    <phoneticPr fontId="2"/>
  </si>
  <si>
    <t>●現状の１業務毎にかかるコストの結果
　　コスト＝業務工数・諸経費</t>
    <rPh sb="1" eb="3">
      <t>ゲンジョウ</t>
    </rPh>
    <rPh sb="5" eb="7">
      <t>ギョウム</t>
    </rPh>
    <rPh sb="7" eb="8">
      <t>マイ</t>
    </rPh>
    <rPh sb="25" eb="27">
      <t>ギョウム</t>
    </rPh>
    <rPh sb="27" eb="29">
      <t>コウスウ</t>
    </rPh>
    <rPh sb="30" eb="33">
      <t>ショケイヒ</t>
    </rPh>
    <phoneticPr fontId="2"/>
  </si>
  <si>
    <t xml:space="preserve">●業務別、年間の総コストの算出結果
</t>
    <rPh sb="1" eb="3">
      <t>ギョウム</t>
    </rPh>
    <rPh sb="3" eb="4">
      <t>ベツ</t>
    </rPh>
    <rPh sb="5" eb="7">
      <t>ネンカン</t>
    </rPh>
    <rPh sb="8" eb="9">
      <t>ソウ</t>
    </rPh>
    <rPh sb="13" eb="15">
      <t>サンシュツ</t>
    </rPh>
    <rPh sb="15" eb="17">
      <t>ケッカ</t>
    </rPh>
    <phoneticPr fontId="2"/>
  </si>
  <si>
    <t>対象部署</t>
    <rPh sb="0" eb="2">
      <t>タイショウ</t>
    </rPh>
    <rPh sb="2" eb="4">
      <t>ブショ</t>
    </rPh>
    <phoneticPr fontId="2"/>
  </si>
  <si>
    <t>調査対象業務</t>
    <rPh sb="0" eb="2">
      <t>チョウサ</t>
    </rPh>
    <rPh sb="2" eb="4">
      <t>タイショウ</t>
    </rPh>
    <rPh sb="4" eb="6">
      <t>ギョウム</t>
    </rPh>
    <phoneticPr fontId="2"/>
  </si>
  <si>
    <t>現状の
１処理毎のコスト</t>
    <rPh sb="0" eb="2">
      <t>ゲンジョウ</t>
    </rPh>
    <phoneticPr fontId="2"/>
  </si>
  <si>
    <t>年間発生件数</t>
    <rPh sb="0" eb="2">
      <t>ネンカン</t>
    </rPh>
    <rPh sb="2" eb="4">
      <t>ハッセイ</t>
    </rPh>
    <rPh sb="4" eb="6">
      <t>ケンスウ</t>
    </rPh>
    <phoneticPr fontId="2"/>
  </si>
  <si>
    <t>調査対象業務</t>
    <phoneticPr fontId="2"/>
  </si>
  <si>
    <t>１年間の
業務コスト</t>
    <rPh sb="1" eb="3">
      <t>ネンカン</t>
    </rPh>
    <rPh sb="5" eb="7">
      <t>ギョウム</t>
    </rPh>
    <phoneticPr fontId="2"/>
  </si>
  <si>
    <t>備考：　（調査結果の信憑性の確認）</t>
    <rPh sb="0" eb="2">
      <t>ビコウ</t>
    </rPh>
    <rPh sb="5" eb="7">
      <t>チョウサ</t>
    </rPh>
    <rPh sb="7" eb="9">
      <t>ケッカ</t>
    </rPh>
    <rPh sb="10" eb="13">
      <t>シンピョウセイ</t>
    </rPh>
    <rPh sb="14" eb="16">
      <t>カクニン</t>
    </rPh>
    <phoneticPr fontId="2"/>
  </si>
  <si>
    <t>見積依頼</t>
    <rPh sb="0" eb="2">
      <t>ミツモリ</t>
    </rPh>
    <rPh sb="2" eb="4">
      <t>イライ</t>
    </rPh>
    <phoneticPr fontId="2"/>
  </si>
  <si>
    <t>業務工数</t>
    <rPh sb="0" eb="2">
      <t>ギョウム</t>
    </rPh>
    <rPh sb="2" eb="4">
      <t>コウスウ</t>
    </rPh>
    <phoneticPr fontId="2"/>
  </si>
  <si>
    <t>拠点の</t>
    <rPh sb="0" eb="2">
      <t>キョテン</t>
    </rPh>
    <phoneticPr fontId="2"/>
  </si>
  <si>
    <t>月間（200時間/月）</t>
    <rPh sb="0" eb="2">
      <t>ゲッカン</t>
    </rPh>
    <rPh sb="6" eb="8">
      <t>ジカン</t>
    </rPh>
    <rPh sb="9" eb="10">
      <t>ツキ</t>
    </rPh>
    <phoneticPr fontId="2"/>
  </si>
  <si>
    <t>時間の作業を実施</t>
    <rPh sb="0" eb="2">
      <t>ジカン</t>
    </rPh>
    <rPh sb="3" eb="5">
      <t>サギョウ</t>
    </rPh>
    <rPh sb="6" eb="8">
      <t>ジッシ</t>
    </rPh>
    <phoneticPr fontId="2"/>
  </si>
  <si>
    <t>諸経費</t>
    <rPh sb="0" eb="1">
      <t>ショ</t>
    </rPh>
    <rPh sb="1" eb="3">
      <t>ケイヒ</t>
    </rPh>
    <phoneticPr fontId="2"/>
  </si>
  <si>
    <t>人の担当者が</t>
    <rPh sb="0" eb="1">
      <t>ニン</t>
    </rPh>
    <rPh sb="2" eb="5">
      <t>タントウシャ</t>
    </rPh>
    <phoneticPr fontId="2"/>
  </si>
  <si>
    <t>毎日（8時間/日）</t>
    <rPh sb="0" eb="2">
      <t>マイニチ</t>
    </rPh>
    <rPh sb="4" eb="6">
      <t>ジカン</t>
    </rPh>
    <rPh sb="7" eb="8">
      <t>ヒ</t>
    </rPh>
    <phoneticPr fontId="2"/>
  </si>
  <si>
    <t>注文書発行</t>
    <rPh sb="0" eb="2">
      <t>チュウモン</t>
    </rPh>
    <rPh sb="2" eb="3">
      <t>ショ</t>
    </rPh>
    <rPh sb="3" eb="5">
      <t>ハッコウ</t>
    </rPh>
    <phoneticPr fontId="2"/>
  </si>
  <si>
    <t>請書受理</t>
    <rPh sb="0" eb="2">
      <t>ウケショ</t>
    </rPh>
    <rPh sb="2" eb="4">
      <t>ジュリ</t>
    </rPh>
    <phoneticPr fontId="2"/>
  </si>
  <si>
    <t>出来高業務</t>
    <rPh sb="0" eb="3">
      <t>デキダカ</t>
    </rPh>
    <rPh sb="3" eb="5">
      <t>ギョウム</t>
    </rPh>
    <phoneticPr fontId="2"/>
  </si>
  <si>
    <t>請求業務</t>
    <rPh sb="0" eb="2">
      <t>セイキュウ</t>
    </rPh>
    <rPh sb="2" eb="4">
      <t>ギョウム</t>
    </rPh>
    <phoneticPr fontId="2"/>
  </si>
  <si>
    <t>年間総業務工数</t>
    <rPh sb="0" eb="2">
      <t>ネンカン</t>
    </rPh>
    <rPh sb="2" eb="3">
      <t>ソウ</t>
    </rPh>
    <rPh sb="3" eb="5">
      <t>ギョウム</t>
    </rPh>
    <rPh sb="5" eb="7">
      <t>コウスウ</t>
    </rPh>
    <phoneticPr fontId="2"/>
  </si>
  <si>
    <t>年間総諸経費</t>
    <rPh sb="0" eb="2">
      <t>ネンカン</t>
    </rPh>
    <rPh sb="2" eb="3">
      <t>ソウ</t>
    </rPh>
    <rPh sb="3" eb="6">
      <t>ショケイヒ</t>
    </rPh>
    <phoneticPr fontId="2"/>
  </si>
  <si>
    <t>電子化後対応率</t>
    <rPh sb="0" eb="3">
      <t>デンシカ</t>
    </rPh>
    <rPh sb="3" eb="4">
      <t>ゴ</t>
    </rPh>
    <rPh sb="4" eb="6">
      <t>タイオウ</t>
    </rPh>
    <rPh sb="6" eb="7">
      <t>リツ</t>
    </rPh>
    <phoneticPr fontId="2"/>
  </si>
  <si>
    <t>総額</t>
    <rPh sb="0" eb="2">
      <t>ソウガク</t>
    </rPh>
    <phoneticPr fontId="2"/>
  </si>
  <si>
    <t>電子商取引導入後の、１業務毎の予想コスト</t>
    <rPh sb="0" eb="2">
      <t>デンシ</t>
    </rPh>
    <rPh sb="2" eb="5">
      <t>ショウトリヒキ</t>
    </rPh>
    <rPh sb="5" eb="7">
      <t>ドウニュウ</t>
    </rPh>
    <rPh sb="7" eb="8">
      <t>ゴ</t>
    </rPh>
    <rPh sb="11" eb="13">
      <t>ギョウム</t>
    </rPh>
    <rPh sb="13" eb="14">
      <t>マイ</t>
    </rPh>
    <rPh sb="15" eb="17">
      <t>ヨソウ</t>
    </rPh>
    <phoneticPr fontId="2"/>
  </si>
  <si>
    <t>●現状の１業務毎にかかるコスト</t>
    <rPh sb="1" eb="3">
      <t>ゲンジョウ</t>
    </rPh>
    <rPh sb="5" eb="7">
      <t>ギョウム</t>
    </rPh>
    <rPh sb="7" eb="8">
      <t>マイ</t>
    </rPh>
    <phoneticPr fontId="2"/>
  </si>
  <si>
    <t>●電子商取引導入後の、１業務毎の予想コスト</t>
    <rPh sb="1" eb="3">
      <t>デンシ</t>
    </rPh>
    <rPh sb="3" eb="4">
      <t>ショウ</t>
    </rPh>
    <rPh sb="4" eb="6">
      <t>トリヒキ</t>
    </rPh>
    <rPh sb="6" eb="8">
      <t>ドウニュウ</t>
    </rPh>
    <rPh sb="8" eb="9">
      <t>ゴ</t>
    </rPh>
    <rPh sb="12" eb="14">
      <t>ギョウム</t>
    </rPh>
    <rPh sb="14" eb="15">
      <t>マイ</t>
    </rPh>
    <rPh sb="16" eb="18">
      <t>ヨソウ</t>
    </rPh>
    <phoneticPr fontId="2"/>
  </si>
  <si>
    <t>電子商取引導入前
１処理毎のコスト</t>
    <rPh sb="0" eb="5">
      <t>デンシショウトリヒキ</t>
    </rPh>
    <rPh sb="5" eb="7">
      <t>ドウニュウ</t>
    </rPh>
    <rPh sb="7" eb="8">
      <t>マエ</t>
    </rPh>
    <rPh sb="10" eb="12">
      <t>ショリ</t>
    </rPh>
    <rPh sb="12" eb="13">
      <t>マイ</t>
    </rPh>
    <phoneticPr fontId="2"/>
  </si>
  <si>
    <t>電子商取引導入後
１業務毎のコスト</t>
    <rPh sb="0" eb="2">
      <t>デンシ</t>
    </rPh>
    <rPh sb="2" eb="3">
      <t>ショウ</t>
    </rPh>
    <rPh sb="3" eb="5">
      <t>トリヒキ</t>
    </rPh>
    <rPh sb="5" eb="7">
      <t>ドウニュウ</t>
    </rPh>
    <rPh sb="7" eb="8">
      <t>ゴ</t>
    </rPh>
    <rPh sb="10" eb="12">
      <t>ギョウム</t>
    </rPh>
    <rPh sb="12" eb="13">
      <t>マイ</t>
    </rPh>
    <phoneticPr fontId="2"/>
  </si>
  <si>
    <t>削減効果</t>
    <rPh sb="0" eb="2">
      <t>サクゲン</t>
    </rPh>
    <rPh sb="2" eb="4">
      <t>コウカ</t>
    </rPh>
    <phoneticPr fontId="2"/>
  </si>
  <si>
    <t>削減率</t>
    <rPh sb="0" eb="2">
      <t>サクゲン</t>
    </rPh>
    <rPh sb="2" eb="3">
      <t>リツ</t>
    </rPh>
    <phoneticPr fontId="2"/>
  </si>
  <si>
    <t>経費</t>
    <rPh sb="0" eb="2">
      <t>ケイヒ</t>
    </rPh>
    <phoneticPr fontId="2"/>
  </si>
  <si>
    <t>確定注文</t>
    <rPh sb="0" eb="4">
      <t>０５０２</t>
    </rPh>
    <phoneticPr fontId="2"/>
  </si>
  <si>
    <t>注文請け</t>
    <rPh sb="0" eb="4">
      <t>０５０６</t>
    </rPh>
    <phoneticPr fontId="2"/>
  </si>
  <si>
    <t>コストメリット</t>
    <phoneticPr fontId="2"/>
  </si>
  <si>
    <t>ハード・ソフト導入年</t>
    <rPh sb="7" eb="9">
      <t>ドウニュウ</t>
    </rPh>
    <rPh sb="9" eb="10">
      <t>ネン</t>
    </rPh>
    <phoneticPr fontId="2"/>
  </si>
  <si>
    <t>ハード・ソフト初期費
※更新年含む</t>
    <rPh sb="7" eb="9">
      <t>ショキ</t>
    </rPh>
    <rPh sb="9" eb="10">
      <t>ヒ</t>
    </rPh>
    <rPh sb="12" eb="14">
      <t>コウシン</t>
    </rPh>
    <rPh sb="14" eb="15">
      <t>ネン</t>
    </rPh>
    <rPh sb="15" eb="16">
      <t>フク</t>
    </rPh>
    <phoneticPr fontId="2"/>
  </si>
  <si>
    <t>ハード・ソフト年額費</t>
    <rPh sb="7" eb="9">
      <t>ネンガク</t>
    </rPh>
    <rPh sb="9" eb="10">
      <t>ヒ</t>
    </rPh>
    <phoneticPr fontId="2"/>
  </si>
  <si>
    <t>削減効果（年間）</t>
    <rPh sb="0" eb="2">
      <t>サクゲン</t>
    </rPh>
    <rPh sb="2" eb="4">
      <t>コウカ</t>
    </rPh>
    <rPh sb="5" eb="7">
      <t>ネンカン</t>
    </rPh>
    <phoneticPr fontId="2"/>
  </si>
  <si>
    <t>ASP-I</t>
    <phoneticPr fontId="2"/>
  </si>
  <si>
    <t>ASP-II</t>
    <phoneticPr fontId="2"/>
  </si>
  <si>
    <t>【電子化後】</t>
    <rPh sb="1" eb="3">
      <t>デンシ</t>
    </rPh>
    <rPh sb="3" eb="4">
      <t>カ</t>
    </rPh>
    <rPh sb="4" eb="5">
      <t>ゴ</t>
    </rPh>
    <phoneticPr fontId="2"/>
  </si>
  <si>
    <t>（平日５日で４週間）</t>
    <phoneticPr fontId="2"/>
  </si>
  <si>
    <t>※</t>
    <phoneticPr fontId="2"/>
  </si>
  <si>
    <t>人が計</t>
    <rPh sb="0" eb="1">
      <t>ヒト</t>
    </rPh>
    <rPh sb="2" eb="3">
      <t>ケイ</t>
    </rPh>
    <phoneticPr fontId="2"/>
  </si>
  <si>
    <t>回、講師を実施</t>
    <rPh sb="0" eb="1">
      <t>カイ</t>
    </rPh>
    <rPh sb="2" eb="4">
      <t>コウシ</t>
    </rPh>
    <rPh sb="5" eb="7">
      <t>ジッシ</t>
    </rPh>
    <phoneticPr fontId="2"/>
  </si>
  <si>
    <t>人が</t>
    <rPh sb="0" eb="1">
      <t>ヒト</t>
    </rPh>
    <phoneticPr fontId="2"/>
  </si>
  <si>
    <t>ヶ月に一回、講師を実施</t>
    <rPh sb="1" eb="2">
      <t>ゲツ</t>
    </rPh>
    <rPh sb="3" eb="5">
      <t>イッカイ</t>
    </rPh>
    <rPh sb="6" eb="8">
      <t>コウシ</t>
    </rPh>
    <rPh sb="9" eb="11">
      <t>ジッシ</t>
    </rPh>
    <phoneticPr fontId="2"/>
  </si>
  <si>
    <t>日で</t>
    <rPh sb="0" eb="1">
      <t>ヒ</t>
    </rPh>
    <phoneticPr fontId="2"/>
  </si>
  <si>
    <t>時間対応</t>
    <rPh sb="0" eb="2">
      <t>ジカン</t>
    </rPh>
    <rPh sb="2" eb="4">
      <t>タイオウ</t>
    </rPh>
    <phoneticPr fontId="2"/>
  </si>
  <si>
    <t>※自社構築のみ、自社システムの管理者を指します</t>
    <rPh sb="1" eb="3">
      <t>ジシャ</t>
    </rPh>
    <rPh sb="3" eb="5">
      <t>コウチク</t>
    </rPh>
    <rPh sb="8" eb="10">
      <t>ジシャ</t>
    </rPh>
    <rPh sb="15" eb="18">
      <t>カンリシャ</t>
    </rPh>
    <rPh sb="19" eb="20">
      <t>サ</t>
    </rPh>
    <phoneticPr fontId="2"/>
  </si>
  <si>
    <t>※自社内、業者内から操作・内容についての問合せ対応を指します</t>
    <rPh sb="1" eb="3">
      <t>ジシャ</t>
    </rPh>
    <rPh sb="3" eb="4">
      <t>ナイ</t>
    </rPh>
    <rPh sb="5" eb="7">
      <t>ギョウシャ</t>
    </rPh>
    <rPh sb="7" eb="8">
      <t>ナイ</t>
    </rPh>
    <rPh sb="10" eb="12">
      <t>ソウサ</t>
    </rPh>
    <rPh sb="13" eb="15">
      <t>ナイヨウ</t>
    </rPh>
    <rPh sb="20" eb="22">
      <t>トイアワ</t>
    </rPh>
    <rPh sb="23" eb="25">
      <t>タイオウ</t>
    </rPh>
    <rPh sb="26" eb="27">
      <t>サ</t>
    </rPh>
    <phoneticPr fontId="2"/>
  </si>
  <si>
    <t>●●株式会社</t>
    <rPh sb="2" eb="4">
      <t>カブシキ</t>
    </rPh>
    <rPh sb="4" eb="6">
      <t>カイシャ</t>
    </rPh>
    <phoneticPr fontId="2"/>
  </si>
  <si>
    <t>業者選定（相見積先の決定）
※15分を想定</t>
    <rPh sb="0" eb="2">
      <t>ギョウシャ</t>
    </rPh>
    <rPh sb="2" eb="4">
      <t>センテイ</t>
    </rPh>
    <rPh sb="5" eb="6">
      <t>アイ</t>
    </rPh>
    <rPh sb="6" eb="8">
      <t>ミツモリ</t>
    </rPh>
    <rPh sb="8" eb="9">
      <t>サキ</t>
    </rPh>
    <rPh sb="10" eb="12">
      <t>ケッテイ</t>
    </rPh>
    <rPh sb="17" eb="18">
      <t>フン</t>
    </rPh>
    <rPh sb="19" eb="21">
      <t>ソウテイ</t>
    </rPh>
    <phoneticPr fontId="2"/>
  </si>
  <si>
    <t>注文書の作成時間
（現業務調査シートより平均時間を参照）</t>
    <rPh sb="0" eb="2">
      <t>チュウモン</t>
    </rPh>
    <rPh sb="2" eb="3">
      <t>ショ</t>
    </rPh>
    <rPh sb="4" eb="6">
      <t>サクセイ</t>
    </rPh>
    <rPh sb="6" eb="8">
      <t>ジカン</t>
    </rPh>
    <rPh sb="10" eb="11">
      <t>ゲン</t>
    </rPh>
    <rPh sb="11" eb="13">
      <t>ギョウム</t>
    </rPh>
    <rPh sb="13" eb="15">
      <t>チョウサ</t>
    </rPh>
    <rPh sb="20" eb="22">
      <t>ヘイキン</t>
    </rPh>
    <rPh sb="22" eb="24">
      <t>ジカン</t>
    </rPh>
    <rPh sb="25" eb="27">
      <t>サンショウ</t>
    </rPh>
    <phoneticPr fontId="2"/>
  </si>
  <si>
    <t>担当者移動時間
※45分を想定</t>
    <rPh sb="0" eb="3">
      <t>タントウシャ</t>
    </rPh>
    <rPh sb="3" eb="5">
      <t>イドウ</t>
    </rPh>
    <rPh sb="5" eb="7">
      <t>ジカン</t>
    </rPh>
    <rPh sb="11" eb="12">
      <t>フン</t>
    </rPh>
    <rPh sb="13" eb="15">
      <t>ソウテイ</t>
    </rPh>
    <phoneticPr fontId="2"/>
  </si>
  <si>
    <t>部門承認処理
※5分を想定</t>
    <rPh sb="0" eb="2">
      <t>ブモン</t>
    </rPh>
    <rPh sb="2" eb="4">
      <t>ショウニン</t>
    </rPh>
    <rPh sb="4" eb="6">
      <t>ショリ</t>
    </rPh>
    <rPh sb="9" eb="10">
      <t>フン</t>
    </rPh>
    <rPh sb="11" eb="13">
      <t>ソウテイ</t>
    </rPh>
    <phoneticPr fontId="2"/>
  </si>
  <si>
    <t>社印押印
※10分を想定</t>
    <rPh sb="0" eb="2">
      <t>シャイン</t>
    </rPh>
    <rPh sb="2" eb="4">
      <t>オウイン</t>
    </rPh>
    <rPh sb="8" eb="9">
      <t>フン</t>
    </rPh>
    <rPh sb="10" eb="12">
      <t>ソウテイ</t>
    </rPh>
    <phoneticPr fontId="2"/>
  </si>
  <si>
    <t>封書・宛名書き
※3分を想定</t>
    <rPh sb="0" eb="2">
      <t>フウショ</t>
    </rPh>
    <rPh sb="3" eb="6">
      <t>アテナガ</t>
    </rPh>
    <rPh sb="10" eb="11">
      <t>フン</t>
    </rPh>
    <rPh sb="12" eb="14">
      <t>ソウテイ</t>
    </rPh>
    <phoneticPr fontId="2"/>
  </si>
  <si>
    <t>取引先へ持込み</t>
    <phoneticPr fontId="2"/>
  </si>
  <si>
    <t>取引先が持帰り</t>
    <phoneticPr fontId="2"/>
  </si>
  <si>
    <t>注文書控えのコピー代
※2.6円/枚（白黒印刷）を想定</t>
    <rPh sb="0" eb="3">
      <t>チュウモンショ</t>
    </rPh>
    <rPh sb="3" eb="4">
      <t>ヒカ</t>
    </rPh>
    <rPh sb="9" eb="10">
      <t>ダイ</t>
    </rPh>
    <rPh sb="15" eb="16">
      <t>エン</t>
    </rPh>
    <rPh sb="17" eb="18">
      <t>マイ</t>
    </rPh>
    <rPh sb="19" eb="21">
      <t>シロクロ</t>
    </rPh>
    <rPh sb="21" eb="23">
      <t>インサツ</t>
    </rPh>
    <rPh sb="25" eb="27">
      <t>ソウテイ</t>
    </rPh>
    <phoneticPr fontId="2"/>
  </si>
  <si>
    <t>注文書の印刷代
※2.6円/枚（白黒印刷）を想定</t>
    <rPh sb="0" eb="2">
      <t>チュウモン</t>
    </rPh>
    <rPh sb="2" eb="3">
      <t>ショ</t>
    </rPh>
    <rPh sb="4" eb="6">
      <t>インサツ</t>
    </rPh>
    <rPh sb="6" eb="7">
      <t>ダイ</t>
    </rPh>
    <rPh sb="12" eb="13">
      <t>エン</t>
    </rPh>
    <rPh sb="14" eb="15">
      <t>マイ</t>
    </rPh>
    <rPh sb="16" eb="18">
      <t>シロクロ</t>
    </rPh>
    <rPh sb="18" eb="20">
      <t>インサツ</t>
    </rPh>
    <rPh sb="22" eb="24">
      <t>ソウテイ</t>
    </rPh>
    <phoneticPr fontId="2"/>
  </si>
  <si>
    <t>契約（注文書の受け取り）</t>
    <rPh sb="0" eb="2">
      <t>ケイヤク</t>
    </rPh>
    <rPh sb="3" eb="5">
      <t>チュウモン</t>
    </rPh>
    <rPh sb="5" eb="6">
      <t>ショ</t>
    </rPh>
    <rPh sb="7" eb="8">
      <t>ウ</t>
    </rPh>
    <rPh sb="9" eb="10">
      <t>ト</t>
    </rPh>
    <phoneticPr fontId="2"/>
  </si>
  <si>
    <t>注文請書の内容確認
※3分を想定</t>
    <rPh sb="0" eb="2">
      <t>チュウモン</t>
    </rPh>
    <rPh sb="2" eb="4">
      <t>ウケショ</t>
    </rPh>
    <rPh sb="5" eb="7">
      <t>ナイヨウ</t>
    </rPh>
    <rPh sb="7" eb="9">
      <t>カクニン</t>
    </rPh>
    <rPh sb="12" eb="13">
      <t>フン</t>
    </rPh>
    <rPh sb="14" eb="16">
      <t>ソウテイ</t>
    </rPh>
    <phoneticPr fontId="2"/>
  </si>
  <si>
    <t>注文請書情報の入力時間
（現業務調査シートより平均時間を参照）</t>
    <rPh sb="0" eb="2">
      <t>チュウモン</t>
    </rPh>
    <rPh sb="2" eb="4">
      <t>ウケショ</t>
    </rPh>
    <rPh sb="4" eb="6">
      <t>ジョウホウ</t>
    </rPh>
    <rPh sb="7" eb="9">
      <t>ニュウリョク</t>
    </rPh>
    <rPh sb="9" eb="11">
      <t>ジカン</t>
    </rPh>
    <rPh sb="13" eb="14">
      <t>ウツツ</t>
    </rPh>
    <rPh sb="14" eb="16">
      <t>ギョウム</t>
    </rPh>
    <rPh sb="16" eb="18">
      <t>チョウサ</t>
    </rPh>
    <rPh sb="23" eb="25">
      <t>ヘイキン</t>
    </rPh>
    <rPh sb="25" eb="27">
      <t>ジカン</t>
    </rPh>
    <rPh sb="28" eb="30">
      <t>サンショウ</t>
    </rPh>
    <phoneticPr fontId="2"/>
  </si>
  <si>
    <t>件数</t>
    <rPh sb="0" eb="2">
      <t>ケンスウ</t>
    </rPh>
    <phoneticPr fontId="2"/>
  </si>
  <si>
    <t>分/1請求</t>
    <rPh sb="0" eb="1">
      <t>フン</t>
    </rPh>
    <rPh sb="3" eb="5">
      <t>１１０４</t>
    </rPh>
    <phoneticPr fontId="2"/>
  </si>
  <si>
    <t>分/1契約</t>
    <rPh sb="0" eb="1">
      <t>フン</t>
    </rPh>
    <rPh sb="3" eb="5">
      <t>ケイヤク</t>
    </rPh>
    <phoneticPr fontId="2"/>
  </si>
  <si>
    <t>分/1契約</t>
    <rPh sb="0" eb="1">
      <t>フン</t>
    </rPh>
    <phoneticPr fontId="2"/>
  </si>
  <si>
    <t>分/1依頼</t>
    <rPh sb="0" eb="1">
      <t>フン</t>
    </rPh>
    <rPh sb="3" eb="5">
      <t>イライ</t>
    </rPh>
    <phoneticPr fontId="2"/>
  </si>
  <si>
    <t>行/1依頼</t>
    <rPh sb="0" eb="1">
      <t>ギョウ</t>
    </rPh>
    <rPh sb="3" eb="5">
      <t>イライ</t>
    </rPh>
    <phoneticPr fontId="2"/>
  </si>
  <si>
    <t>枚/1依頼</t>
    <rPh sb="0" eb="1">
      <t>マイ</t>
    </rPh>
    <rPh sb="3" eb="5">
      <t>イライ</t>
    </rPh>
    <phoneticPr fontId="2"/>
  </si>
  <si>
    <t>累積効果</t>
    <rPh sb="0" eb="2">
      <t>ルイセキ</t>
    </rPh>
    <rPh sb="2" eb="4">
      <t>コウカ</t>
    </rPh>
    <phoneticPr fontId="2"/>
  </si>
  <si>
    <t>見積依頼の作成時間</t>
    <rPh sb="0" eb="2">
      <t>ミツモリ</t>
    </rPh>
    <rPh sb="2" eb="4">
      <t>イライ</t>
    </rPh>
    <rPh sb="5" eb="7">
      <t>サクセイ</t>
    </rPh>
    <rPh sb="7" eb="9">
      <t>ジカン</t>
    </rPh>
    <phoneticPr fontId="2"/>
  </si>
  <si>
    <t>書類枚数</t>
    <rPh sb="0" eb="2">
      <t>ショルイ</t>
    </rPh>
    <rPh sb="2" eb="4">
      <t>マイスウ</t>
    </rPh>
    <phoneticPr fontId="2"/>
  </si>
  <si>
    <t>社/1件</t>
    <rPh sb="0" eb="1">
      <t>シャ</t>
    </rPh>
    <rPh sb="3" eb="4">
      <t>ケン</t>
    </rPh>
    <phoneticPr fontId="2"/>
  </si>
  <si>
    <t>分/1件</t>
    <rPh sb="0" eb="1">
      <t>フン</t>
    </rPh>
    <rPh sb="3" eb="4">
      <t>ケン</t>
    </rPh>
    <phoneticPr fontId="2"/>
  </si>
  <si>
    <t>分/1注文</t>
    <rPh sb="0" eb="1">
      <t>フン</t>
    </rPh>
    <phoneticPr fontId="2"/>
  </si>
  <si>
    <t>枚/1注文</t>
    <rPh sb="0" eb="1">
      <t>マイ</t>
    </rPh>
    <phoneticPr fontId="2"/>
  </si>
  <si>
    <t>折衝手段</t>
    <rPh sb="0" eb="2">
      <t>セッショウ</t>
    </rPh>
    <rPh sb="2" eb="4">
      <t>シュダン</t>
    </rPh>
    <phoneticPr fontId="2"/>
  </si>
  <si>
    <t>■見積依頼書を取引先へ送付する手段の割合を調査する項目です。全体が100%となるよう入力してください。</t>
    <rPh sb="1" eb="3">
      <t>ミツモリ</t>
    </rPh>
    <rPh sb="3" eb="5">
      <t>イライ</t>
    </rPh>
    <rPh sb="5" eb="6">
      <t>ショ</t>
    </rPh>
    <rPh sb="7" eb="9">
      <t>トリヒキ</t>
    </rPh>
    <rPh sb="9" eb="10">
      <t>サキ</t>
    </rPh>
    <rPh sb="11" eb="13">
      <t>ソウフ</t>
    </rPh>
    <rPh sb="15" eb="17">
      <t>シュダン</t>
    </rPh>
    <rPh sb="18" eb="20">
      <t>ワリアイ</t>
    </rPh>
    <rPh sb="21" eb="23">
      <t>チョウサ</t>
    </rPh>
    <rPh sb="25" eb="27">
      <t>コウモク</t>
    </rPh>
    <rPh sb="30" eb="32">
      <t>ゼンタイ</t>
    </rPh>
    <rPh sb="42" eb="44">
      <t>ニュウリョク</t>
    </rPh>
    <phoneticPr fontId="2"/>
  </si>
  <si>
    <t>■注文情報を作成するための、受注者からの見積回答情報を事前にシステムや表計算ソフトに登録する時間を調査する項目です。
　登録は手動で入力する時間、システムによって自動で入力される時間などが含まれます。</t>
    <rPh sb="1" eb="3">
      <t>チュウモン</t>
    </rPh>
    <rPh sb="3" eb="5">
      <t>ジョウホウ</t>
    </rPh>
    <rPh sb="6" eb="8">
      <t>サクセイ</t>
    </rPh>
    <rPh sb="14" eb="17">
      <t>ジュチュウシャ</t>
    </rPh>
    <rPh sb="20" eb="22">
      <t>ミツモリ</t>
    </rPh>
    <rPh sb="22" eb="24">
      <t>カイトウ</t>
    </rPh>
    <rPh sb="24" eb="26">
      <t>ジョウホウ</t>
    </rPh>
    <rPh sb="27" eb="29">
      <t>ジゼン</t>
    </rPh>
    <rPh sb="35" eb="38">
      <t>ヒョウケイサン</t>
    </rPh>
    <rPh sb="42" eb="44">
      <t>トウロク</t>
    </rPh>
    <rPh sb="46" eb="48">
      <t>ジカン</t>
    </rPh>
    <rPh sb="49" eb="51">
      <t>チョウサ</t>
    </rPh>
    <rPh sb="53" eb="55">
      <t>コウモク</t>
    </rPh>
    <rPh sb="60" eb="62">
      <t>トウロク</t>
    </rPh>
    <rPh sb="63" eb="65">
      <t>シュドウ</t>
    </rPh>
    <rPh sb="66" eb="68">
      <t>ニュウリョク</t>
    </rPh>
    <rPh sb="70" eb="72">
      <t>ジカン</t>
    </rPh>
    <rPh sb="81" eb="83">
      <t>ジドウ</t>
    </rPh>
    <rPh sb="84" eb="86">
      <t>ニュウリョク</t>
    </rPh>
    <rPh sb="89" eb="91">
      <t>ジカン</t>
    </rPh>
    <rPh sb="94" eb="95">
      <t>フク</t>
    </rPh>
    <phoneticPr fontId="2"/>
  </si>
  <si>
    <t>見積回答</t>
    <rPh sb="0" eb="2">
      <t>ミツモリ</t>
    </rPh>
    <rPh sb="2" eb="4">
      <t>カイトウ</t>
    </rPh>
    <phoneticPr fontId="2"/>
  </si>
  <si>
    <t>契約（注文書・請書）</t>
    <rPh sb="0" eb="2">
      <t>ケイヤク</t>
    </rPh>
    <rPh sb="3" eb="5">
      <t>チュウモン</t>
    </rPh>
    <rPh sb="5" eb="6">
      <t>ショ</t>
    </rPh>
    <rPh sb="7" eb="9">
      <t>ウケショ</t>
    </rPh>
    <phoneticPr fontId="2"/>
  </si>
  <si>
    <t>■注文書を作成する時間を調査する項目です。
　注文書作成・印刷・担当者捺印までに掛かる作業時間を分で表してください。
　上司の承認待ち時間や、書類送付の配送時間は含まなくて結構です。</t>
    <rPh sb="1" eb="4">
      <t>チュウモンショ</t>
    </rPh>
    <rPh sb="5" eb="7">
      <t>サクセイ</t>
    </rPh>
    <rPh sb="9" eb="11">
      <t>ジカン</t>
    </rPh>
    <rPh sb="12" eb="14">
      <t>チョウサ</t>
    </rPh>
    <rPh sb="16" eb="18">
      <t>コウモク</t>
    </rPh>
    <rPh sb="23" eb="26">
      <t>チュウモンショ</t>
    </rPh>
    <rPh sb="26" eb="28">
      <t>サクセイ</t>
    </rPh>
    <phoneticPr fontId="2"/>
  </si>
  <si>
    <t>名がシステムを利用</t>
    <rPh sb="0" eb="1">
      <t>メイ</t>
    </rPh>
    <rPh sb="7" eb="9">
      <t>リヨウ</t>
    </rPh>
    <phoneticPr fontId="2"/>
  </si>
  <si>
    <t>１名あたりの月額費</t>
    <rPh sb="1" eb="2">
      <t>メイ</t>
    </rPh>
    <rPh sb="6" eb="8">
      <t>ゲツガク</t>
    </rPh>
    <rPh sb="8" eb="9">
      <t>ヒ</t>
    </rPh>
    <phoneticPr fontId="2"/>
  </si>
  <si>
    <t>■注文書を取引先へ送付する手段の割合を調査する項目です。全体が100%となるよう入力してください。</t>
    <rPh sb="1" eb="3">
      <t>チュウモン</t>
    </rPh>
    <rPh sb="3" eb="4">
      <t>ショ</t>
    </rPh>
    <rPh sb="5" eb="7">
      <t>トリヒキ</t>
    </rPh>
    <rPh sb="7" eb="8">
      <t>サキ</t>
    </rPh>
    <rPh sb="9" eb="11">
      <t>ソウフ</t>
    </rPh>
    <rPh sb="13" eb="15">
      <t>シュダン</t>
    </rPh>
    <rPh sb="16" eb="18">
      <t>ワリアイ</t>
    </rPh>
    <rPh sb="19" eb="21">
      <t>チョウサ</t>
    </rPh>
    <rPh sb="23" eb="25">
      <t>コウモク</t>
    </rPh>
    <rPh sb="28" eb="30">
      <t>ゼンタイ</t>
    </rPh>
    <rPh sb="40" eb="42">
      <t>ニュウリョク</t>
    </rPh>
    <phoneticPr fontId="2"/>
  </si>
  <si>
    <t>■購買見積依頼（注文の見積収集をするための依頼）を作成する時間を調査する項目です。
　依頼情報収集（内訳・設計図書の入手など）・依頼書作成・印刷・担当者捺印までに掛かる作業時間を分で表してください。
　上司の承認待ち時間や、書類送付の配送時間は含まなくて結構です。</t>
    <rPh sb="1" eb="3">
      <t>コウバイ</t>
    </rPh>
    <rPh sb="3" eb="5">
      <t>ミツモリ</t>
    </rPh>
    <rPh sb="5" eb="7">
      <t>イライ</t>
    </rPh>
    <rPh sb="8" eb="10">
      <t>チュウモン</t>
    </rPh>
    <rPh sb="11" eb="13">
      <t>ミツモリ</t>
    </rPh>
    <rPh sb="13" eb="15">
      <t>シュウシュウ</t>
    </rPh>
    <rPh sb="21" eb="23">
      <t>イライ</t>
    </rPh>
    <rPh sb="25" eb="27">
      <t>サクセイ</t>
    </rPh>
    <rPh sb="29" eb="31">
      <t>ジカン</t>
    </rPh>
    <rPh sb="32" eb="34">
      <t>チョウサ</t>
    </rPh>
    <rPh sb="36" eb="38">
      <t>コウモク</t>
    </rPh>
    <phoneticPr fontId="2"/>
  </si>
  <si>
    <t>※個別開発</t>
    <rPh sb="1" eb="3">
      <t>コベツ</t>
    </rPh>
    <rPh sb="3" eb="5">
      <t>カイハツ</t>
    </rPh>
    <phoneticPr fontId="2"/>
  </si>
  <si>
    <t>■1つの注文で相見積を行う社数、比較時間、単価折衝にかける日数などを調査する項目です。</t>
    <rPh sb="4" eb="6">
      <t>チュウモン</t>
    </rPh>
    <rPh sb="7" eb="8">
      <t>アイ</t>
    </rPh>
    <rPh sb="8" eb="10">
      <t>ミツモリ</t>
    </rPh>
    <rPh sb="11" eb="12">
      <t>オコナ</t>
    </rPh>
    <rPh sb="13" eb="14">
      <t>シャ</t>
    </rPh>
    <rPh sb="14" eb="15">
      <t>スウ</t>
    </rPh>
    <rPh sb="16" eb="18">
      <t>ヒカク</t>
    </rPh>
    <rPh sb="18" eb="20">
      <t>ジカン</t>
    </rPh>
    <rPh sb="21" eb="23">
      <t>タンカ</t>
    </rPh>
    <rPh sb="23" eb="25">
      <t>セッショウ</t>
    </rPh>
    <rPh sb="29" eb="31">
      <t>ニッスウ</t>
    </rPh>
    <rPh sb="34" eb="36">
      <t>チョウサ</t>
    </rPh>
    <rPh sb="38" eb="40">
      <t>コウモク</t>
    </rPh>
    <phoneticPr fontId="2"/>
  </si>
  <si>
    <t>契約のための見積回答情報の入力時間</t>
    <rPh sb="0" eb="2">
      <t>ケイヤク</t>
    </rPh>
    <rPh sb="6" eb="8">
      <t>ミツモリ</t>
    </rPh>
    <rPh sb="8" eb="10">
      <t>カイトウ</t>
    </rPh>
    <rPh sb="10" eb="12">
      <t>ジョウホウ</t>
    </rPh>
    <rPh sb="13" eb="15">
      <t>ニュウリョク</t>
    </rPh>
    <rPh sb="15" eb="17">
      <t>ジカン</t>
    </rPh>
    <phoneticPr fontId="2"/>
  </si>
  <si>
    <t>注文請書情報の入力時間</t>
    <rPh sb="0" eb="2">
      <t>チュウモン</t>
    </rPh>
    <rPh sb="2" eb="4">
      <t>ウケショ</t>
    </rPh>
    <rPh sb="4" eb="6">
      <t>ジョウホウ</t>
    </rPh>
    <phoneticPr fontId="2"/>
  </si>
  <si>
    <t>■1つの請求情報に対しての、出来高折衝に係る時間を調査する項目です。</t>
    <rPh sb="4" eb="6">
      <t>１１０４</t>
    </rPh>
    <rPh sb="6" eb="8">
      <t>ジョウホウ</t>
    </rPh>
    <rPh sb="9" eb="10">
      <t>タイ</t>
    </rPh>
    <rPh sb="14" eb="17">
      <t>デキダカ</t>
    </rPh>
    <rPh sb="17" eb="19">
      <t>セッショウ</t>
    </rPh>
    <rPh sb="20" eb="21">
      <t>カカ</t>
    </rPh>
    <rPh sb="22" eb="24">
      <t>ジカン</t>
    </rPh>
    <rPh sb="25" eb="27">
      <t>チョウサ</t>
    </rPh>
    <rPh sb="29" eb="31">
      <t>コウモク</t>
    </rPh>
    <phoneticPr fontId="2"/>
  </si>
  <si>
    <t>1年目</t>
    <rPh sb="1" eb="3">
      <t>ネンメ</t>
    </rPh>
    <phoneticPr fontId="2"/>
  </si>
  <si>
    <t>2年目</t>
    <rPh sb="1" eb="3">
      <t>ネンメ</t>
    </rPh>
    <phoneticPr fontId="2"/>
  </si>
  <si>
    <t>3年目</t>
    <rPh sb="1" eb="3">
      <t>ネンメ</t>
    </rPh>
    <phoneticPr fontId="2"/>
  </si>
  <si>
    <t>4年目</t>
    <rPh sb="1" eb="3">
      <t>ネンメ</t>
    </rPh>
    <phoneticPr fontId="2"/>
  </si>
  <si>
    <t>5年目</t>
    <rPh sb="1" eb="3">
      <t>ネンメ</t>
    </rPh>
    <phoneticPr fontId="2"/>
  </si>
  <si>
    <t>6年目</t>
    <rPh sb="1" eb="3">
      <t>ネンメ</t>
    </rPh>
    <phoneticPr fontId="2"/>
  </si>
  <si>
    <t>7年目</t>
    <rPh sb="1" eb="3">
      <t>ネンメ</t>
    </rPh>
    <phoneticPr fontId="2"/>
  </si>
  <si>
    <t>8年目</t>
    <rPh sb="1" eb="3">
      <t>ネンメ</t>
    </rPh>
    <phoneticPr fontId="2"/>
  </si>
  <si>
    <t>9年目</t>
    <rPh sb="1" eb="3">
      <t>ネンメ</t>
    </rPh>
    <phoneticPr fontId="2"/>
  </si>
  <si>
    <t>10年目</t>
    <rPh sb="2" eb="4">
      <t>ネンメ</t>
    </rPh>
    <phoneticPr fontId="2"/>
  </si>
  <si>
    <t>建設業電子商取引導入支援
コストシミュレーション表</t>
    <rPh sb="0" eb="2">
      <t>ケンセツ</t>
    </rPh>
    <rPh sb="2" eb="3">
      <t>ギョウ</t>
    </rPh>
    <rPh sb="3" eb="5">
      <t>デンシ</t>
    </rPh>
    <rPh sb="5" eb="8">
      <t>ショウトリヒキ</t>
    </rPh>
    <rPh sb="8" eb="10">
      <t>ドウニュウ</t>
    </rPh>
    <rPh sb="10" eb="12">
      <t>シエン</t>
    </rPh>
    <rPh sb="24" eb="25">
      <t>ヒョウ</t>
    </rPh>
    <phoneticPr fontId="2"/>
  </si>
  <si>
    <t>○シート説明</t>
    <rPh sb="4" eb="6">
      <t>セツメイ</t>
    </rPh>
    <phoneticPr fontId="2"/>
  </si>
  <si>
    <t>現業務調査</t>
    <rPh sb="0" eb="1">
      <t>ゲン</t>
    </rPh>
    <rPh sb="1" eb="3">
      <t>ギョウム</t>
    </rPh>
    <rPh sb="3" eb="5">
      <t>チョウサ</t>
    </rPh>
    <phoneticPr fontId="2"/>
  </si>
  <si>
    <t>業務書類量調査</t>
    <rPh sb="0" eb="2">
      <t>ギョウム</t>
    </rPh>
    <rPh sb="2" eb="4">
      <t>ショルイ</t>
    </rPh>
    <rPh sb="4" eb="5">
      <t>リョウ</t>
    </rPh>
    <rPh sb="5" eb="7">
      <t>チョウサ</t>
    </rPh>
    <phoneticPr fontId="2"/>
  </si>
  <si>
    <t>導入後効果予測</t>
    <rPh sb="0" eb="2">
      <t>ドウニュウ</t>
    </rPh>
    <rPh sb="2" eb="3">
      <t>ゴ</t>
    </rPh>
    <rPh sb="3" eb="5">
      <t>コウカ</t>
    </rPh>
    <rPh sb="5" eb="7">
      <t>ヨソク</t>
    </rPh>
    <phoneticPr fontId="2"/>
  </si>
  <si>
    <t>●計算表</t>
    <rPh sb="1" eb="3">
      <t>ケイサン</t>
    </rPh>
    <rPh sb="3" eb="4">
      <t>ヒョウ</t>
    </rPh>
    <phoneticPr fontId="2"/>
  </si>
  <si>
    <t>投資情報</t>
    <rPh sb="0" eb="2">
      <t>トウシ</t>
    </rPh>
    <rPh sb="2" eb="4">
      <t>ジョウホウ</t>
    </rPh>
    <phoneticPr fontId="2"/>
  </si>
  <si>
    <t>●ｼﾐｭﾚｰｼｮﾝ結果</t>
    <rPh sb="9" eb="11">
      <t>ケッカ</t>
    </rPh>
    <phoneticPr fontId="2"/>
  </si>
  <si>
    <t>●削減結果</t>
    <rPh sb="1" eb="3">
      <t>サクゲン</t>
    </rPh>
    <rPh sb="3" eb="5">
      <t>ケッカ</t>
    </rPh>
    <phoneticPr fontId="2"/>
  </si>
  <si>
    <t>&lt;参考&gt;●調査結果早見表</t>
    <rPh sb="1" eb="3">
      <t>サンコウ</t>
    </rPh>
    <rPh sb="5" eb="7">
      <t>チョウサ</t>
    </rPh>
    <rPh sb="7" eb="9">
      <t>ケッカ</t>
    </rPh>
    <rPh sb="9" eb="11">
      <t>ハヤミ</t>
    </rPh>
    <rPh sb="11" eb="12">
      <t>ヒョウ</t>
    </rPh>
    <phoneticPr fontId="2"/>
  </si>
  <si>
    <t>&lt;参考&gt;●現在の業務の総コスト</t>
    <rPh sb="1" eb="3">
      <t>サンコウ</t>
    </rPh>
    <rPh sb="5" eb="7">
      <t>ゲンザイ</t>
    </rPh>
    <rPh sb="8" eb="10">
      <t>ギョウム</t>
    </rPh>
    <rPh sb="11" eb="12">
      <t>ソウ</t>
    </rPh>
    <phoneticPr fontId="2"/>
  </si>
  <si>
    <t>&lt;参考&gt;●総コスト算出WS</t>
    <rPh sb="1" eb="3">
      <t>サンコウ</t>
    </rPh>
    <rPh sb="5" eb="6">
      <t>ソウ</t>
    </rPh>
    <rPh sb="9" eb="11">
      <t>サンシュツ</t>
    </rPh>
    <phoneticPr fontId="2"/>
  </si>
  <si>
    <t>コストシミュレーションを行うに当たっての作業単金や郵送料などの基礎資料です。
自社の状況に近い値に変更してください。</t>
    <rPh sb="12" eb="13">
      <t>オコナ</t>
    </rPh>
    <rPh sb="15" eb="16">
      <t>ア</t>
    </rPh>
    <rPh sb="20" eb="22">
      <t>サギョウ</t>
    </rPh>
    <rPh sb="22" eb="23">
      <t>タン</t>
    </rPh>
    <rPh sb="23" eb="24">
      <t>キン</t>
    </rPh>
    <rPh sb="25" eb="28">
      <t>ユウソウリョウ</t>
    </rPh>
    <rPh sb="31" eb="33">
      <t>キソ</t>
    </rPh>
    <rPh sb="33" eb="35">
      <t>シリョウ</t>
    </rPh>
    <rPh sb="39" eb="41">
      <t>ジシャ</t>
    </rPh>
    <rPh sb="42" eb="44">
      <t>ジョウキョウ</t>
    </rPh>
    <rPh sb="45" eb="46">
      <t>チカ</t>
    </rPh>
    <rPh sb="47" eb="48">
      <t>アタイ</t>
    </rPh>
    <rPh sb="49" eb="51">
      <t>ヘンコウ</t>
    </rPh>
    <phoneticPr fontId="2"/>
  </si>
  <si>
    <t>第一回合同検討会で記入いただいた、「現業務調査シート」です。
現状の業務状況について調査します。</t>
    <rPh sb="0" eb="1">
      <t>ダイ</t>
    </rPh>
    <rPh sb="1" eb="3">
      <t>イッカイ</t>
    </rPh>
    <rPh sb="3" eb="5">
      <t>ゴウドウ</t>
    </rPh>
    <rPh sb="5" eb="8">
      <t>ケントウカイ</t>
    </rPh>
    <rPh sb="9" eb="11">
      <t>キニュウ</t>
    </rPh>
    <rPh sb="18" eb="19">
      <t>ゲン</t>
    </rPh>
    <rPh sb="19" eb="21">
      <t>ギョウム</t>
    </rPh>
    <rPh sb="21" eb="23">
      <t>チョウサ</t>
    </rPh>
    <rPh sb="31" eb="33">
      <t>ゲンジョウ</t>
    </rPh>
    <rPh sb="34" eb="36">
      <t>ギョウム</t>
    </rPh>
    <rPh sb="36" eb="38">
      <t>ジョウキョウ</t>
    </rPh>
    <rPh sb="42" eb="44">
      <t>チョウサ</t>
    </rPh>
    <phoneticPr fontId="2"/>
  </si>
  <si>
    <t>第一回合同検討会で記入いただいた、「業務書類量調査シート」です。
年間の購買見積回答や注文量などを調査します。</t>
    <rPh sb="0" eb="1">
      <t>ダイ</t>
    </rPh>
    <rPh sb="1" eb="3">
      <t>イッカイ</t>
    </rPh>
    <rPh sb="3" eb="5">
      <t>ゴウドウ</t>
    </rPh>
    <rPh sb="5" eb="8">
      <t>ケントウカイ</t>
    </rPh>
    <rPh sb="9" eb="11">
      <t>キニュウ</t>
    </rPh>
    <rPh sb="18" eb="20">
      <t>ギョウム</t>
    </rPh>
    <rPh sb="20" eb="22">
      <t>ショルイ</t>
    </rPh>
    <rPh sb="22" eb="23">
      <t>リョウ</t>
    </rPh>
    <rPh sb="23" eb="25">
      <t>チョウサ</t>
    </rPh>
    <rPh sb="33" eb="35">
      <t>ネンカン</t>
    </rPh>
    <rPh sb="36" eb="42">
      <t>０３０２</t>
    </rPh>
    <rPh sb="43" eb="45">
      <t>チュウモン</t>
    </rPh>
    <rPh sb="45" eb="46">
      <t>リョウ</t>
    </rPh>
    <rPh sb="49" eb="51">
      <t>チョウサ</t>
    </rPh>
    <phoneticPr fontId="2"/>
  </si>
  <si>
    <t>第二回合同検討会で記入いただいた、「導入後効果予測シート」です。
現業務調査で調査した項目に対して、どの程度作業量になるかを調査する項目です。</t>
    <rPh sb="0" eb="1">
      <t>ダイ</t>
    </rPh>
    <rPh sb="1" eb="3">
      <t>ニカイ</t>
    </rPh>
    <rPh sb="3" eb="5">
      <t>ゴウドウ</t>
    </rPh>
    <rPh sb="5" eb="7">
      <t>ケントウ</t>
    </rPh>
    <rPh sb="7" eb="8">
      <t>カイ</t>
    </rPh>
    <rPh sb="9" eb="11">
      <t>キニュウ</t>
    </rPh>
    <rPh sb="18" eb="20">
      <t>ドウニュウ</t>
    </rPh>
    <rPh sb="20" eb="21">
      <t>ゴ</t>
    </rPh>
    <rPh sb="21" eb="23">
      <t>コウカ</t>
    </rPh>
    <rPh sb="23" eb="25">
      <t>ヨソク</t>
    </rPh>
    <rPh sb="33" eb="34">
      <t>ゲン</t>
    </rPh>
    <rPh sb="34" eb="36">
      <t>ギョウム</t>
    </rPh>
    <rPh sb="36" eb="38">
      <t>チョウサ</t>
    </rPh>
    <rPh sb="39" eb="41">
      <t>チョウサ</t>
    </rPh>
    <rPh sb="43" eb="45">
      <t>コウモク</t>
    </rPh>
    <rPh sb="46" eb="47">
      <t>タイ</t>
    </rPh>
    <rPh sb="52" eb="54">
      <t>テイド</t>
    </rPh>
    <rPh sb="54" eb="56">
      <t>サギョウ</t>
    </rPh>
    <rPh sb="56" eb="57">
      <t>リョウ</t>
    </rPh>
    <rPh sb="62" eb="64">
      <t>チョウサ</t>
    </rPh>
    <rPh sb="66" eb="68">
      <t>コウモク</t>
    </rPh>
    <phoneticPr fontId="2"/>
  </si>
  <si>
    <t>第二回合同検討会で記入いただいた、「目標電子化率シート」です。
自社で何年後に電子化率をどの程度にまでにするか、目標を記入します。</t>
    <rPh sb="0" eb="1">
      <t>ダイ</t>
    </rPh>
    <rPh sb="1" eb="3">
      <t>ニカイ</t>
    </rPh>
    <rPh sb="3" eb="5">
      <t>ゴウドウ</t>
    </rPh>
    <rPh sb="5" eb="7">
      <t>ケントウ</t>
    </rPh>
    <rPh sb="7" eb="8">
      <t>カイ</t>
    </rPh>
    <rPh sb="9" eb="11">
      <t>キニュウ</t>
    </rPh>
    <rPh sb="18" eb="20">
      <t>モクヒョウ</t>
    </rPh>
    <rPh sb="20" eb="23">
      <t>デンシカ</t>
    </rPh>
    <rPh sb="23" eb="24">
      <t>リツ</t>
    </rPh>
    <rPh sb="32" eb="34">
      <t>ジシャ</t>
    </rPh>
    <rPh sb="35" eb="38">
      <t>ナンネンゴ</t>
    </rPh>
    <rPh sb="39" eb="42">
      <t>デンシカ</t>
    </rPh>
    <rPh sb="42" eb="43">
      <t>リツ</t>
    </rPh>
    <rPh sb="46" eb="48">
      <t>テイド</t>
    </rPh>
    <rPh sb="56" eb="58">
      <t>モクヒョウ</t>
    </rPh>
    <rPh sb="59" eb="61">
      <t>キニュウ</t>
    </rPh>
    <phoneticPr fontId="2"/>
  </si>
  <si>
    <t>現業務調査で調査した項目と、承認処理や経費など、想定される作業を加味し、1業務辺りの作業時間、経費を計算します。想定量を事前に登録してありますが、相違している場合は想定量を変更してください。</t>
    <rPh sb="0" eb="1">
      <t>ゲン</t>
    </rPh>
    <rPh sb="1" eb="3">
      <t>ギョウム</t>
    </rPh>
    <rPh sb="3" eb="5">
      <t>チョウサ</t>
    </rPh>
    <rPh sb="6" eb="8">
      <t>チョウサ</t>
    </rPh>
    <rPh sb="10" eb="12">
      <t>コウモク</t>
    </rPh>
    <rPh sb="14" eb="16">
      <t>ショウニン</t>
    </rPh>
    <rPh sb="16" eb="18">
      <t>ショリ</t>
    </rPh>
    <rPh sb="19" eb="21">
      <t>ケイヒ</t>
    </rPh>
    <rPh sb="24" eb="26">
      <t>ソウテイ</t>
    </rPh>
    <rPh sb="29" eb="31">
      <t>サギョウ</t>
    </rPh>
    <rPh sb="32" eb="34">
      <t>カミ</t>
    </rPh>
    <rPh sb="37" eb="39">
      <t>ギョウム</t>
    </rPh>
    <rPh sb="39" eb="40">
      <t>アタ</t>
    </rPh>
    <rPh sb="42" eb="44">
      <t>サギョウ</t>
    </rPh>
    <rPh sb="44" eb="46">
      <t>ジカン</t>
    </rPh>
    <rPh sb="47" eb="49">
      <t>ケイヒ</t>
    </rPh>
    <rPh sb="50" eb="52">
      <t>ケイサン</t>
    </rPh>
    <rPh sb="56" eb="58">
      <t>ソウテイ</t>
    </rPh>
    <rPh sb="58" eb="59">
      <t>リョウ</t>
    </rPh>
    <rPh sb="60" eb="62">
      <t>ジゼン</t>
    </rPh>
    <rPh sb="63" eb="65">
      <t>トウロク</t>
    </rPh>
    <rPh sb="73" eb="75">
      <t>ソウイ</t>
    </rPh>
    <rPh sb="79" eb="81">
      <t>バアイ</t>
    </rPh>
    <rPh sb="82" eb="84">
      <t>ソウテイ</t>
    </rPh>
    <rPh sb="84" eb="85">
      <t>リョウ</t>
    </rPh>
    <rPh sb="86" eb="88">
      <t>ヘンコウ</t>
    </rPh>
    <phoneticPr fontId="2"/>
  </si>
  <si>
    <t>●計算表で算出した作業時間、経費の結果と、導入後効果予測で調査した値を加味し、導入前後で、電子化率が100%となった場合に、1業務毎でどの程度削減できるかの結果を示しています。</t>
    <rPh sb="1" eb="3">
      <t>ケイサン</t>
    </rPh>
    <rPh sb="3" eb="4">
      <t>ヒョウ</t>
    </rPh>
    <rPh sb="5" eb="7">
      <t>サンシュツ</t>
    </rPh>
    <rPh sb="9" eb="11">
      <t>サギョウ</t>
    </rPh>
    <rPh sb="11" eb="13">
      <t>ジカン</t>
    </rPh>
    <rPh sb="14" eb="16">
      <t>ケイヒ</t>
    </rPh>
    <rPh sb="17" eb="19">
      <t>ケッカ</t>
    </rPh>
    <rPh sb="21" eb="23">
      <t>ドウニュウ</t>
    </rPh>
    <rPh sb="23" eb="24">
      <t>ゴ</t>
    </rPh>
    <rPh sb="24" eb="26">
      <t>コウカ</t>
    </rPh>
    <rPh sb="26" eb="28">
      <t>ヨソク</t>
    </rPh>
    <rPh sb="29" eb="31">
      <t>チョウサ</t>
    </rPh>
    <rPh sb="33" eb="34">
      <t>アタイ</t>
    </rPh>
    <rPh sb="35" eb="37">
      <t>カミ</t>
    </rPh>
    <rPh sb="39" eb="41">
      <t>ドウニュウ</t>
    </rPh>
    <rPh sb="41" eb="43">
      <t>ゼンゴ</t>
    </rPh>
    <rPh sb="45" eb="48">
      <t>デンシカ</t>
    </rPh>
    <rPh sb="48" eb="49">
      <t>リツ</t>
    </rPh>
    <rPh sb="58" eb="60">
      <t>バアイ</t>
    </rPh>
    <rPh sb="63" eb="65">
      <t>ギョウム</t>
    </rPh>
    <rPh sb="65" eb="66">
      <t>マイ</t>
    </rPh>
    <rPh sb="69" eb="71">
      <t>テイド</t>
    </rPh>
    <rPh sb="71" eb="73">
      <t>サクゲン</t>
    </rPh>
    <rPh sb="78" eb="80">
      <t>ケッカ</t>
    </rPh>
    <rPh sb="81" eb="82">
      <t>シメ</t>
    </rPh>
    <phoneticPr fontId="2"/>
  </si>
  <si>
    <t>電子商取引導入タイプ別で、投資情報、削減結果、目標電子化率を元に投資対効果のグラフを表示します。</t>
    <rPh sb="0" eb="2">
      <t>デンシ</t>
    </rPh>
    <rPh sb="2" eb="5">
      <t>ショウトリヒキ</t>
    </rPh>
    <rPh sb="5" eb="7">
      <t>ドウニュウ</t>
    </rPh>
    <rPh sb="10" eb="11">
      <t>ベツ</t>
    </rPh>
    <rPh sb="13" eb="15">
      <t>トウシ</t>
    </rPh>
    <rPh sb="15" eb="17">
      <t>ジョウホウ</t>
    </rPh>
    <rPh sb="18" eb="20">
      <t>サクゲン</t>
    </rPh>
    <rPh sb="20" eb="22">
      <t>ケッカ</t>
    </rPh>
    <rPh sb="23" eb="25">
      <t>モクヒョウ</t>
    </rPh>
    <rPh sb="25" eb="28">
      <t>デンシカ</t>
    </rPh>
    <rPh sb="28" eb="29">
      <t>リツ</t>
    </rPh>
    <rPh sb="30" eb="31">
      <t>モト</t>
    </rPh>
    <rPh sb="32" eb="34">
      <t>トウシ</t>
    </rPh>
    <rPh sb="34" eb="35">
      <t>タイ</t>
    </rPh>
    <rPh sb="35" eb="37">
      <t>コウカ</t>
    </rPh>
    <rPh sb="42" eb="44">
      <t>ヒョウジ</t>
    </rPh>
    <phoneticPr fontId="2"/>
  </si>
  <si>
    <t>現業務調査、業務書類量調査、導入後効果予測、目標電子化率で入力した内容を一つのシートにまとめた表です。</t>
    <rPh sb="0" eb="1">
      <t>ゲン</t>
    </rPh>
    <rPh sb="1" eb="3">
      <t>ギョウム</t>
    </rPh>
    <rPh sb="3" eb="5">
      <t>チョウサ</t>
    </rPh>
    <rPh sb="6" eb="8">
      <t>ギョウム</t>
    </rPh>
    <rPh sb="8" eb="10">
      <t>ショルイ</t>
    </rPh>
    <rPh sb="10" eb="11">
      <t>リョウ</t>
    </rPh>
    <rPh sb="11" eb="13">
      <t>チョウサ</t>
    </rPh>
    <rPh sb="14" eb="16">
      <t>ドウニュウ</t>
    </rPh>
    <rPh sb="16" eb="17">
      <t>ゴ</t>
    </rPh>
    <rPh sb="17" eb="19">
      <t>コウカ</t>
    </rPh>
    <rPh sb="19" eb="21">
      <t>ヨソク</t>
    </rPh>
    <rPh sb="22" eb="24">
      <t>モクヒョウ</t>
    </rPh>
    <rPh sb="24" eb="27">
      <t>デンシカ</t>
    </rPh>
    <rPh sb="27" eb="28">
      <t>リツ</t>
    </rPh>
    <rPh sb="29" eb="31">
      <t>ニュウリョク</t>
    </rPh>
    <rPh sb="33" eb="35">
      <t>ナイヨウ</t>
    </rPh>
    <rPh sb="36" eb="37">
      <t>ヒト</t>
    </rPh>
    <rPh sb="47" eb="48">
      <t>ヒョウ</t>
    </rPh>
    <phoneticPr fontId="2"/>
  </si>
  <si>
    <t>●計算表で算出した作業時間、経費の結果に、業務書類量調査で調査した値を加味し、年間のコストがどの程度を表示した表です。</t>
    <rPh sb="1" eb="3">
      <t>ケイサン</t>
    </rPh>
    <rPh sb="3" eb="4">
      <t>ヒョウ</t>
    </rPh>
    <rPh sb="5" eb="7">
      <t>サンシュツ</t>
    </rPh>
    <rPh sb="9" eb="11">
      <t>サギョウ</t>
    </rPh>
    <rPh sb="11" eb="13">
      <t>ジカン</t>
    </rPh>
    <rPh sb="14" eb="16">
      <t>ケイヒ</t>
    </rPh>
    <rPh sb="17" eb="19">
      <t>ケッカ</t>
    </rPh>
    <rPh sb="21" eb="23">
      <t>ギョウム</t>
    </rPh>
    <rPh sb="23" eb="25">
      <t>ショルイ</t>
    </rPh>
    <rPh sb="25" eb="26">
      <t>リョウ</t>
    </rPh>
    <rPh sb="26" eb="28">
      <t>チョウサ</t>
    </rPh>
    <rPh sb="29" eb="31">
      <t>チョウサ</t>
    </rPh>
    <rPh sb="33" eb="34">
      <t>アタイ</t>
    </rPh>
    <rPh sb="35" eb="37">
      <t>カミ</t>
    </rPh>
    <rPh sb="39" eb="41">
      <t>ネンカン</t>
    </rPh>
    <rPh sb="48" eb="50">
      <t>テイド</t>
    </rPh>
    <rPh sb="51" eb="53">
      <t>ヒョウジ</t>
    </rPh>
    <rPh sb="55" eb="56">
      <t>オモテ</t>
    </rPh>
    <phoneticPr fontId="2"/>
  </si>
  <si>
    <t>●ｼﾐｭﾚｰｼｮﾝ結果を出すにあたり、導入タイプ別で、自社の投資予想額を記入します。</t>
    <rPh sb="9" eb="11">
      <t>ケッカ</t>
    </rPh>
    <rPh sb="12" eb="13">
      <t>ダ</t>
    </rPh>
    <rPh sb="19" eb="21">
      <t>ドウニュウ</t>
    </rPh>
    <rPh sb="24" eb="25">
      <t>ベツ</t>
    </rPh>
    <rPh sb="27" eb="29">
      <t>ジシャ</t>
    </rPh>
    <rPh sb="30" eb="32">
      <t>トウシ</t>
    </rPh>
    <rPh sb="32" eb="34">
      <t>ヨソウ</t>
    </rPh>
    <rPh sb="34" eb="35">
      <t>ガク</t>
    </rPh>
    <rPh sb="36" eb="38">
      <t>キニュウ</t>
    </rPh>
    <phoneticPr fontId="2"/>
  </si>
  <si>
    <t>景気変動率</t>
    <rPh sb="0" eb="2">
      <t>ケイキ</t>
    </rPh>
    <rPh sb="2" eb="4">
      <t>ヘンドウ</t>
    </rPh>
    <rPh sb="4" eb="5">
      <t>リツ</t>
    </rPh>
    <phoneticPr fontId="2"/>
  </si>
  <si>
    <t>経過年数</t>
    <rPh sb="0" eb="2">
      <t>ケイカ</t>
    </rPh>
    <rPh sb="2" eb="4">
      <t>ネンスウ</t>
    </rPh>
    <phoneticPr fontId="2"/>
  </si>
  <si>
    <t>導入年別変動率入力</t>
    <rPh sb="0" eb="2">
      <t>ドウニュウ</t>
    </rPh>
    <rPh sb="2" eb="4">
      <t>ネンベツ</t>
    </rPh>
    <rPh sb="4" eb="7">
      <t>ヘンドウリツ</t>
    </rPh>
    <rPh sb="7" eb="9">
      <t>ニュウリョク</t>
    </rPh>
    <phoneticPr fontId="2"/>
  </si>
  <si>
    <t>導入年</t>
    <rPh sb="0" eb="2">
      <t>ドウニュウ</t>
    </rPh>
    <rPh sb="2" eb="3">
      <t>ネン</t>
    </rPh>
    <phoneticPr fontId="2"/>
  </si>
  <si>
    <t>景気変動率
※自動計算します</t>
    <rPh sb="0" eb="2">
      <t>ケイキ</t>
    </rPh>
    <rPh sb="2" eb="4">
      <t>ヘンドウ</t>
    </rPh>
    <rPh sb="4" eb="5">
      <t>リツ</t>
    </rPh>
    <rPh sb="7" eb="9">
      <t>ジドウ</t>
    </rPh>
    <rPh sb="9" eb="11">
      <t>ケイサン</t>
    </rPh>
    <phoneticPr fontId="2"/>
  </si>
  <si>
    <t>購買～注文電子化率</t>
    <rPh sb="0" eb="2">
      <t>コウバイ</t>
    </rPh>
    <rPh sb="3" eb="5">
      <t>チュウモン</t>
    </rPh>
    <rPh sb="5" eb="8">
      <t>デンシカ</t>
    </rPh>
    <rPh sb="8" eb="9">
      <t>リツ</t>
    </rPh>
    <phoneticPr fontId="2"/>
  </si>
  <si>
    <t>出来高～請求電子化率</t>
    <rPh sb="0" eb="3">
      <t>デキダカ</t>
    </rPh>
    <rPh sb="4" eb="6">
      <t>セイキュウ</t>
    </rPh>
    <rPh sb="6" eb="9">
      <t>デンシカ</t>
    </rPh>
    <rPh sb="9" eb="10">
      <t>リツ</t>
    </rPh>
    <phoneticPr fontId="2"/>
  </si>
  <si>
    <t>コストシミュレーション</t>
    <phoneticPr fontId="2"/>
  </si>
  <si>
    <r>
      <t>初期投資費</t>
    </r>
    <r>
      <rPr>
        <sz val="16"/>
        <color indexed="10"/>
        <rFont val="ＭＳ Ｐゴシック"/>
        <family val="3"/>
        <charset val="128"/>
      </rPr>
      <t>（参考）</t>
    </r>
    <rPh sb="0" eb="2">
      <t>ショキ</t>
    </rPh>
    <rPh sb="2" eb="4">
      <t>トウシ</t>
    </rPh>
    <rPh sb="4" eb="5">
      <t>ヒ</t>
    </rPh>
    <rPh sb="6" eb="8">
      <t>サンコウ</t>
    </rPh>
    <phoneticPr fontId="2"/>
  </si>
  <si>
    <r>
      <t>月額費</t>
    </r>
    <r>
      <rPr>
        <sz val="16"/>
        <color indexed="10"/>
        <rFont val="ＭＳ Ｐゴシック"/>
        <family val="3"/>
        <charset val="128"/>
      </rPr>
      <t>（参考）</t>
    </r>
    <rPh sb="0" eb="2">
      <t>ゲツガク</t>
    </rPh>
    <rPh sb="2" eb="3">
      <t>ヒ</t>
    </rPh>
    <rPh sb="4" eb="6">
      <t>サンコウ</t>
    </rPh>
    <phoneticPr fontId="2"/>
  </si>
  <si>
    <t>購買～
注文</t>
    <rPh sb="0" eb="2">
      <t>コウバイ</t>
    </rPh>
    <rPh sb="4" eb="6">
      <t>チュウモン</t>
    </rPh>
    <phoneticPr fontId="2"/>
  </si>
  <si>
    <t>出来高～
請求</t>
    <rPh sb="0" eb="3">
      <t>デキダカ</t>
    </rPh>
    <rPh sb="5" eb="7">
      <t>セイキュウ</t>
    </rPh>
    <phoneticPr fontId="2"/>
  </si>
  <si>
    <t>出来高の数量はどのように決めていますか</t>
    <rPh sb="0" eb="3">
      <t>デキダカ</t>
    </rPh>
    <rPh sb="4" eb="6">
      <t>スウリョウ</t>
    </rPh>
    <rPh sb="12" eb="13">
      <t>キ</t>
    </rPh>
    <phoneticPr fontId="2"/>
  </si>
  <si>
    <t>EDI送受信システム
（購買・注文）</t>
    <rPh sb="3" eb="6">
      <t>ソウジュシン</t>
    </rPh>
    <rPh sb="12" eb="14">
      <t>コウバイ</t>
    </rPh>
    <rPh sb="15" eb="17">
      <t>チュウモン</t>
    </rPh>
    <phoneticPr fontId="2"/>
  </si>
  <si>
    <t>出来高調書保管
※2分を想定</t>
    <rPh sb="0" eb="3">
      <t>デキダカ</t>
    </rPh>
    <rPh sb="3" eb="5">
      <t>チョウショ</t>
    </rPh>
    <rPh sb="5" eb="7">
      <t>ホカン</t>
    </rPh>
    <rPh sb="10" eb="11">
      <t>フン</t>
    </rPh>
    <rPh sb="12" eb="14">
      <t>ソウテイ</t>
    </rPh>
    <phoneticPr fontId="2"/>
  </si>
  <si>
    <t>EDI送受信システム
（出来高・請求）</t>
    <rPh sb="3" eb="6">
      <t>ソウジュシン</t>
    </rPh>
    <rPh sb="12" eb="15">
      <t>デキダカ</t>
    </rPh>
    <rPh sb="16" eb="18">
      <t>セイキュウ</t>
    </rPh>
    <phoneticPr fontId="2"/>
  </si>
  <si>
    <t>※ハード・ソフト費に含む</t>
    <rPh sb="8" eb="9">
      <t>ヒ</t>
    </rPh>
    <rPh sb="10" eb="11">
      <t>フク</t>
    </rPh>
    <phoneticPr fontId="2"/>
  </si>
  <si>
    <t>EDI送受信システム（購買）初期費</t>
    <rPh sb="3" eb="6">
      <t>ソウジュシン</t>
    </rPh>
    <rPh sb="11" eb="13">
      <t>コウバイ</t>
    </rPh>
    <rPh sb="14" eb="16">
      <t>ショキ</t>
    </rPh>
    <rPh sb="16" eb="17">
      <t>ヒ</t>
    </rPh>
    <phoneticPr fontId="2"/>
  </si>
  <si>
    <t>EDI送受信システム（出来高）初期費</t>
    <rPh sb="3" eb="6">
      <t>ソウジュシン</t>
    </rPh>
    <rPh sb="11" eb="14">
      <t>デキダカ</t>
    </rPh>
    <rPh sb="15" eb="17">
      <t>ショキ</t>
    </rPh>
    <rPh sb="17" eb="18">
      <t>ヒ</t>
    </rPh>
    <phoneticPr fontId="2"/>
  </si>
  <si>
    <t>EDI送受信システム（購買）年額費</t>
    <rPh sb="3" eb="6">
      <t>ソウジュシン</t>
    </rPh>
    <rPh sb="11" eb="13">
      <t>コウバイ</t>
    </rPh>
    <rPh sb="14" eb="16">
      <t>ネンガク</t>
    </rPh>
    <rPh sb="16" eb="17">
      <t>ヒ</t>
    </rPh>
    <phoneticPr fontId="2"/>
  </si>
  <si>
    <t>EDI送受信システム（出来高）年額費</t>
    <rPh sb="3" eb="6">
      <t>ソウジュシン</t>
    </rPh>
    <rPh sb="11" eb="14">
      <t>デキダカ</t>
    </rPh>
    <rPh sb="15" eb="17">
      <t>ネンガク</t>
    </rPh>
    <rPh sb="17" eb="18">
      <t>ヒ</t>
    </rPh>
    <phoneticPr fontId="2"/>
  </si>
  <si>
    <t>自社構築</t>
    <rPh sb="0" eb="2">
      <t>ジシャ</t>
    </rPh>
    <rPh sb="2" eb="4">
      <t>コウチク</t>
    </rPh>
    <phoneticPr fontId="2"/>
  </si>
  <si>
    <t>投資金額（年間）</t>
    <rPh sb="0" eb="2">
      <t>トウシ</t>
    </rPh>
    <rPh sb="2" eb="4">
      <t>キンガク</t>
    </rPh>
    <rPh sb="5" eb="7">
      <t>ネンカン</t>
    </rPh>
    <phoneticPr fontId="2"/>
  </si>
  <si>
    <t>業務ソフト</t>
    <rPh sb="0" eb="2">
      <t>ギョウム</t>
    </rPh>
    <phoneticPr fontId="2"/>
  </si>
  <si>
    <t>■出来高折衝後に、提示・協議した数量等をシステム、表計算ソフトなどに入力する時間を調査する項目です。
　出来高で折衝した金額と、受注者から来る請求情報に差異がないか、事前に入力しておくことがある場合は入力してください。</t>
    <rPh sb="1" eb="4">
      <t>デキダカ</t>
    </rPh>
    <rPh sb="4" eb="6">
      <t>セッショウ</t>
    </rPh>
    <rPh sb="6" eb="7">
      <t>ゴ</t>
    </rPh>
    <rPh sb="9" eb="11">
      <t>テイジ</t>
    </rPh>
    <rPh sb="12" eb="14">
      <t>キョウギ</t>
    </rPh>
    <rPh sb="16" eb="18">
      <t>スウリョウ</t>
    </rPh>
    <rPh sb="18" eb="19">
      <t>トウ</t>
    </rPh>
    <rPh sb="25" eb="28">
      <t>ヒョウケイサン</t>
    </rPh>
    <rPh sb="34" eb="36">
      <t>ニュウリョク</t>
    </rPh>
    <rPh sb="38" eb="40">
      <t>ジカン</t>
    </rPh>
    <rPh sb="41" eb="43">
      <t>チョウサ</t>
    </rPh>
    <rPh sb="45" eb="47">
      <t>コウモク</t>
    </rPh>
    <rPh sb="52" eb="55">
      <t>デキダカ</t>
    </rPh>
    <rPh sb="56" eb="58">
      <t>セッショウ</t>
    </rPh>
    <rPh sb="60" eb="62">
      <t>キンガク</t>
    </rPh>
    <rPh sb="64" eb="67">
      <t>ジュチュウシャ</t>
    </rPh>
    <rPh sb="69" eb="70">
      <t>ク</t>
    </rPh>
    <rPh sb="71" eb="73">
      <t>セイキュウ</t>
    </rPh>
    <rPh sb="73" eb="75">
      <t>ジョウホウ</t>
    </rPh>
    <rPh sb="76" eb="78">
      <t>サイ</t>
    </rPh>
    <rPh sb="83" eb="85">
      <t>ジゼン</t>
    </rPh>
    <rPh sb="86" eb="88">
      <t>ニュウリョク</t>
    </rPh>
    <rPh sb="97" eb="99">
      <t>バアイ</t>
    </rPh>
    <rPh sb="100" eb="102">
      <t>ニュウリョク</t>
    </rPh>
    <phoneticPr fontId="2"/>
  </si>
  <si>
    <t>書類保管</t>
    <rPh sb="0" eb="2">
      <t>ショルイ</t>
    </rPh>
    <rPh sb="2" eb="4">
      <t>ホカン</t>
    </rPh>
    <phoneticPr fontId="2"/>
  </si>
  <si>
    <t>見積依頼書は保管されていますか。また保管場所は何処ですか（捺印した紙）</t>
    <rPh sb="0" eb="2">
      <t>ミツモリ</t>
    </rPh>
    <rPh sb="2" eb="5">
      <t>イライショ</t>
    </rPh>
    <rPh sb="6" eb="8">
      <t>ホカン</t>
    </rPh>
    <rPh sb="18" eb="20">
      <t>ホカン</t>
    </rPh>
    <rPh sb="20" eb="22">
      <t>バショ</t>
    </rPh>
    <rPh sb="23" eb="25">
      <t>ドコ</t>
    </rPh>
    <rPh sb="29" eb="31">
      <t>ナツイン</t>
    </rPh>
    <rPh sb="33" eb="34">
      <t>カミ</t>
    </rPh>
    <phoneticPr fontId="2"/>
  </si>
  <si>
    <t>注文書の作成時間</t>
    <rPh sb="0" eb="3">
      <t>チュウモンショ</t>
    </rPh>
    <rPh sb="4" eb="6">
      <t>サクセイ</t>
    </rPh>
    <rPh sb="6" eb="8">
      <t>ジカン</t>
    </rPh>
    <phoneticPr fontId="2"/>
  </si>
  <si>
    <t>契約関連書類を保管するために年間で発生するダンボール数は？</t>
    <rPh sb="0" eb="2">
      <t>ケイヤク</t>
    </rPh>
    <rPh sb="2" eb="4">
      <t>カンレン</t>
    </rPh>
    <rPh sb="4" eb="6">
      <t>ショルイ</t>
    </rPh>
    <rPh sb="7" eb="9">
      <t>ホカン</t>
    </rPh>
    <rPh sb="14" eb="16">
      <t>ネンカン</t>
    </rPh>
    <rPh sb="17" eb="19">
      <t>ハッセイ</t>
    </rPh>
    <rPh sb="26" eb="27">
      <t>カズ</t>
    </rPh>
    <phoneticPr fontId="2"/>
  </si>
  <si>
    <t>社内システム（積算・見積システムなど）で、直接見積依頼書を作成</t>
    <rPh sb="0" eb="2">
      <t>シャナイ</t>
    </rPh>
    <rPh sb="7" eb="9">
      <t>セキサン</t>
    </rPh>
    <rPh sb="10" eb="12">
      <t>ミツモリ</t>
    </rPh>
    <rPh sb="21" eb="23">
      <t>チョクセツ</t>
    </rPh>
    <rPh sb="23" eb="25">
      <t>ミツモリ</t>
    </rPh>
    <rPh sb="25" eb="28">
      <t>イライショ</t>
    </rPh>
    <rPh sb="29" eb="31">
      <t>サクセイ</t>
    </rPh>
    <phoneticPr fontId="2"/>
  </si>
  <si>
    <t>社内システム等の情報を元に、表計算ソフト等で見積依頼書を作成</t>
    <rPh sb="0" eb="2">
      <t>シャナイ</t>
    </rPh>
    <rPh sb="6" eb="7">
      <t>トウ</t>
    </rPh>
    <rPh sb="8" eb="10">
      <t>ジョウホウ</t>
    </rPh>
    <rPh sb="11" eb="12">
      <t>モト</t>
    </rPh>
    <rPh sb="20" eb="21">
      <t>ナド</t>
    </rPh>
    <rPh sb="22" eb="24">
      <t>ミツモリ</t>
    </rPh>
    <rPh sb="24" eb="27">
      <t>イライショ</t>
    </rPh>
    <rPh sb="28" eb="30">
      <t>サクセイ</t>
    </rPh>
    <phoneticPr fontId="2"/>
  </si>
  <si>
    <t>作業時間コスト</t>
    <rPh sb="0" eb="2">
      <t>サギョウ</t>
    </rPh>
    <rPh sb="2" eb="4">
      <t>ジカン</t>
    </rPh>
    <phoneticPr fontId="2"/>
  </si>
  <si>
    <t>紙面や、社内システムの情報を紙へ転記をして見積依頼書を作成</t>
    <rPh sb="0" eb="2">
      <t>シメン</t>
    </rPh>
    <rPh sb="4" eb="6">
      <t>シャナイ</t>
    </rPh>
    <rPh sb="11" eb="13">
      <t>ジョウホウ</t>
    </rPh>
    <rPh sb="14" eb="15">
      <t>カミ</t>
    </rPh>
    <rPh sb="16" eb="18">
      <t>テンキ</t>
    </rPh>
    <rPh sb="21" eb="23">
      <t>ミツモリ</t>
    </rPh>
    <rPh sb="23" eb="26">
      <t>イライショ</t>
    </rPh>
    <rPh sb="27" eb="29">
      <t>サクセイ</t>
    </rPh>
    <phoneticPr fontId="2"/>
  </si>
  <si>
    <t>見積回答書の入手情報の形式</t>
    <rPh sb="0" eb="2">
      <t>ミツモリ</t>
    </rPh>
    <rPh sb="2" eb="5">
      <t>カイトウショ</t>
    </rPh>
    <rPh sb="6" eb="8">
      <t>ニュウシュ</t>
    </rPh>
    <rPh sb="8" eb="10">
      <t>ジョウホウ</t>
    </rPh>
    <rPh sb="11" eb="13">
      <t>ケイシキ</t>
    </rPh>
    <phoneticPr fontId="2"/>
  </si>
  <si>
    <t>■受注者から見積回答書を入手する場合に、情報を受け渡しする形式の割合を調査する項目です。全体が100%となるよう入力してください。</t>
    <rPh sb="1" eb="4">
      <t>ジュチュウシャ</t>
    </rPh>
    <rPh sb="6" eb="8">
      <t>ミツモリ</t>
    </rPh>
    <rPh sb="8" eb="11">
      <t>カイトウショ</t>
    </rPh>
    <rPh sb="12" eb="14">
      <t>ニュウシュ</t>
    </rPh>
    <rPh sb="16" eb="18">
      <t>バアイ</t>
    </rPh>
    <rPh sb="20" eb="22">
      <t>ジョウホウ</t>
    </rPh>
    <rPh sb="23" eb="24">
      <t>ウ</t>
    </rPh>
    <rPh sb="25" eb="26">
      <t>ワタ</t>
    </rPh>
    <rPh sb="29" eb="31">
      <t>ケイシキ</t>
    </rPh>
    <rPh sb="32" eb="34">
      <t>ワリアイ</t>
    </rPh>
    <rPh sb="35" eb="37">
      <t>チョウサ</t>
    </rPh>
    <rPh sb="39" eb="41">
      <t>コウモク</t>
    </rPh>
    <rPh sb="44" eb="46">
      <t>ゼンタイ</t>
    </rPh>
    <rPh sb="56" eb="58">
      <t>ニュウリョク</t>
    </rPh>
    <phoneticPr fontId="2"/>
  </si>
  <si>
    <t>表計算・CSV形式などの電子媒体</t>
    <rPh sb="7" eb="9">
      <t>ケイシキ</t>
    </rPh>
    <rPh sb="12" eb="14">
      <t>デンシ</t>
    </rPh>
    <rPh sb="14" eb="16">
      <t>バイタイ</t>
    </rPh>
    <phoneticPr fontId="2"/>
  </si>
  <si>
    <t>鑑情報と、明細情報の両方を、購買システム等に入力</t>
    <rPh sb="0" eb="1">
      <t>カガミ</t>
    </rPh>
    <rPh sb="1" eb="3">
      <t>ジョウホウ</t>
    </rPh>
    <rPh sb="5" eb="7">
      <t>メイサイ</t>
    </rPh>
    <rPh sb="7" eb="9">
      <t>ジョウホウ</t>
    </rPh>
    <rPh sb="10" eb="12">
      <t>リョウホウ</t>
    </rPh>
    <rPh sb="20" eb="21">
      <t>ナド</t>
    </rPh>
    <rPh sb="22" eb="24">
      <t>ニュウリョク</t>
    </rPh>
    <phoneticPr fontId="2"/>
  </si>
  <si>
    <t>価格低</t>
    <rPh sb="0" eb="2">
      <t>カカク</t>
    </rPh>
    <rPh sb="2" eb="3">
      <t>テイ</t>
    </rPh>
    <phoneticPr fontId="2"/>
  </si>
  <si>
    <t>価格高</t>
    <rPh sb="0" eb="2">
      <t>カカク</t>
    </rPh>
    <rPh sb="2" eb="3">
      <t>コウ</t>
    </rPh>
    <phoneticPr fontId="2"/>
  </si>
  <si>
    <t>導入コスト</t>
    <rPh sb="0" eb="2">
      <t>ドウニュウ</t>
    </rPh>
    <phoneticPr fontId="2"/>
  </si>
  <si>
    <t>社内教育</t>
    <rPh sb="0" eb="2">
      <t>シャナイ</t>
    </rPh>
    <rPh sb="2" eb="4">
      <t>キョウイク</t>
    </rPh>
    <phoneticPr fontId="2"/>
  </si>
  <si>
    <t>取引先教育</t>
    <rPh sb="0" eb="2">
      <t>トリヒキ</t>
    </rPh>
    <rPh sb="2" eb="3">
      <t>サキ</t>
    </rPh>
    <rPh sb="3" eb="5">
      <t>キョウイク</t>
    </rPh>
    <phoneticPr fontId="2"/>
  </si>
  <si>
    <t>システム保守要員</t>
    <rPh sb="4" eb="6">
      <t>ホシュ</t>
    </rPh>
    <rPh sb="6" eb="8">
      <t>ヨウイン</t>
    </rPh>
    <phoneticPr fontId="2"/>
  </si>
  <si>
    <t>業務支援要員</t>
    <rPh sb="0" eb="2">
      <t>ギョウム</t>
    </rPh>
    <rPh sb="2" eb="4">
      <t>シエン</t>
    </rPh>
    <rPh sb="4" eb="6">
      <t>ヨウイン</t>
    </rPh>
    <phoneticPr fontId="2"/>
  </si>
  <si>
    <t>導入時</t>
    <rPh sb="0" eb="2">
      <t>ドウニュウ</t>
    </rPh>
    <rPh sb="2" eb="3">
      <t>ジ</t>
    </rPh>
    <phoneticPr fontId="2"/>
  </si>
  <si>
    <t>購買～注文導入</t>
    <rPh sb="0" eb="2">
      <t>コウバイ</t>
    </rPh>
    <rPh sb="3" eb="5">
      <t>チュウモン</t>
    </rPh>
    <rPh sb="5" eb="7">
      <t>ドウニュウ</t>
    </rPh>
    <phoneticPr fontId="2"/>
  </si>
  <si>
    <t>出来高～請求導入</t>
    <rPh sb="0" eb="3">
      <t>デキダカ</t>
    </rPh>
    <rPh sb="4" eb="6">
      <t>セイキュウ</t>
    </rPh>
    <rPh sb="6" eb="8">
      <t>ドウニュウ</t>
    </rPh>
    <phoneticPr fontId="2"/>
  </si>
  <si>
    <t>初期導入費</t>
    <rPh sb="0" eb="2">
      <t>ショキ</t>
    </rPh>
    <rPh sb="2" eb="4">
      <t>ドウニュウ</t>
    </rPh>
    <rPh sb="4" eb="5">
      <t>ヒ</t>
    </rPh>
    <phoneticPr fontId="2"/>
  </si>
  <si>
    <t>教育・運用支援</t>
    <rPh sb="0" eb="2">
      <t>キョウイク</t>
    </rPh>
    <rPh sb="3" eb="5">
      <t>ウンヨウ</t>
    </rPh>
    <rPh sb="5" eb="7">
      <t>シエン</t>
    </rPh>
    <phoneticPr fontId="2"/>
  </si>
  <si>
    <t>教育運用支援</t>
    <rPh sb="0" eb="2">
      <t>キョウイク</t>
    </rPh>
    <rPh sb="2" eb="4">
      <t>ウンヨウ</t>
    </rPh>
    <rPh sb="4" eb="6">
      <t>シエン</t>
    </rPh>
    <phoneticPr fontId="2"/>
  </si>
  <si>
    <t>月額費計</t>
    <rPh sb="0" eb="2">
      <t>ゲツガク</t>
    </rPh>
    <rPh sb="2" eb="3">
      <t>ヒ</t>
    </rPh>
    <rPh sb="3" eb="4">
      <t>ケイ</t>
    </rPh>
    <phoneticPr fontId="2"/>
  </si>
  <si>
    <t>差額</t>
    <rPh sb="0" eb="2">
      <t>サガク</t>
    </rPh>
    <phoneticPr fontId="2"/>
  </si>
  <si>
    <t>導入予定</t>
    <rPh sb="0" eb="2">
      <t>ドウニュウ</t>
    </rPh>
    <rPh sb="2" eb="4">
      <t>ヨテイ</t>
    </rPh>
    <phoneticPr fontId="2"/>
  </si>
  <si>
    <t>ﾊｰﾄﾞｳｪｱ等</t>
    <rPh sb="7" eb="8">
      <t>トウ</t>
    </rPh>
    <phoneticPr fontId="2"/>
  </si>
  <si>
    <t>効果</t>
    <rPh sb="0" eb="2">
      <t>コウカ</t>
    </rPh>
    <phoneticPr fontId="2"/>
  </si>
  <si>
    <t>投資</t>
    <rPh sb="0" eb="2">
      <t>トウシ</t>
    </rPh>
    <phoneticPr fontId="2"/>
  </si>
  <si>
    <t>コストシミュレーション</t>
    <phoneticPr fontId="2"/>
  </si>
  <si>
    <t>社内システム（積算・見積システムなど）で、直接注文書を作成</t>
    <rPh sb="0" eb="2">
      <t>シャナイ</t>
    </rPh>
    <rPh sb="7" eb="9">
      <t>セキサン</t>
    </rPh>
    <rPh sb="10" eb="12">
      <t>ミツモリ</t>
    </rPh>
    <rPh sb="21" eb="23">
      <t>チョクセツ</t>
    </rPh>
    <rPh sb="27" eb="29">
      <t>サクセイ</t>
    </rPh>
    <phoneticPr fontId="2"/>
  </si>
  <si>
    <t>社内システム等の情報を元に、表計算ソフト等で注文書を作成</t>
    <rPh sb="0" eb="2">
      <t>シャナイ</t>
    </rPh>
    <rPh sb="6" eb="7">
      <t>トウ</t>
    </rPh>
    <rPh sb="8" eb="10">
      <t>ジョウホウ</t>
    </rPh>
    <rPh sb="11" eb="12">
      <t>モト</t>
    </rPh>
    <rPh sb="20" eb="21">
      <t>ナド</t>
    </rPh>
    <rPh sb="26" eb="28">
      <t>サクセイ</t>
    </rPh>
    <phoneticPr fontId="2"/>
  </si>
  <si>
    <t>紙面や、社内システムの情報を紙へ転記をして注文書を作成</t>
    <rPh sb="0" eb="2">
      <t>シメン</t>
    </rPh>
    <rPh sb="4" eb="6">
      <t>シャナイ</t>
    </rPh>
    <rPh sb="11" eb="13">
      <t>ジョウホウ</t>
    </rPh>
    <rPh sb="14" eb="15">
      <t>カミ</t>
    </rPh>
    <rPh sb="16" eb="18">
      <t>テンキ</t>
    </rPh>
    <rPh sb="25" eb="27">
      <t>サクセイ</t>
    </rPh>
    <phoneticPr fontId="2"/>
  </si>
  <si>
    <t>合計金額のみ、社内システム等に入力</t>
    <rPh sb="0" eb="2">
      <t>ゴウケイ</t>
    </rPh>
    <rPh sb="2" eb="4">
      <t>キンガク</t>
    </rPh>
    <rPh sb="7" eb="9">
      <t>シャナイ</t>
    </rPh>
    <rPh sb="13" eb="14">
      <t>トウ</t>
    </rPh>
    <phoneticPr fontId="2"/>
  </si>
  <si>
    <t>内訳明細の単価情報を、社内システム等に入力</t>
    <rPh sb="0" eb="2">
      <t>ウチワケ</t>
    </rPh>
    <rPh sb="2" eb="4">
      <t>メイサイ</t>
    </rPh>
    <rPh sb="5" eb="7">
      <t>タンカ</t>
    </rPh>
    <rPh sb="7" eb="9">
      <t>ジョウホウ</t>
    </rPh>
    <rPh sb="11" eb="13">
      <t>シャナイ</t>
    </rPh>
    <rPh sb="17" eb="18">
      <t>ナド</t>
    </rPh>
    <phoneticPr fontId="2"/>
  </si>
  <si>
    <t>鑑情報と明細情報を、社内システム等に入力</t>
    <rPh sb="0" eb="1">
      <t>カガミ</t>
    </rPh>
    <rPh sb="1" eb="3">
      <t>ジョウホウ</t>
    </rPh>
    <rPh sb="4" eb="6">
      <t>メイサイ</t>
    </rPh>
    <rPh sb="6" eb="8">
      <t>ジョウホウ</t>
    </rPh>
    <rPh sb="10" eb="12">
      <t>シャナイ</t>
    </rPh>
    <rPh sb="16" eb="17">
      <t>ナド</t>
    </rPh>
    <rPh sb="18" eb="20">
      <t>ニュウリョク</t>
    </rPh>
    <phoneticPr fontId="2"/>
  </si>
  <si>
    <t>担当者が表計算などに出来高情報を入力し管理</t>
    <rPh sb="0" eb="3">
      <t>タントウシャ</t>
    </rPh>
    <rPh sb="10" eb="13">
      <t>デキダカ</t>
    </rPh>
    <rPh sb="13" eb="15">
      <t>ジョウホウ</t>
    </rPh>
    <rPh sb="16" eb="18">
      <t>ニュウリョク</t>
    </rPh>
    <rPh sb="19" eb="21">
      <t>カンリ</t>
    </rPh>
    <phoneticPr fontId="2"/>
  </si>
  <si>
    <t>自社システム（原価・工程管理システムなど）に出来高情報を入力し管理</t>
    <rPh sb="0" eb="2">
      <t>ジシャ</t>
    </rPh>
    <rPh sb="7" eb="9">
      <t>ゲンカ</t>
    </rPh>
    <rPh sb="10" eb="12">
      <t>コウテイ</t>
    </rPh>
    <rPh sb="12" eb="14">
      <t>カンリ</t>
    </rPh>
    <rPh sb="22" eb="25">
      <t>デキダカ</t>
    </rPh>
    <rPh sb="25" eb="27">
      <t>ジョウホウ</t>
    </rPh>
    <rPh sb="28" eb="30">
      <t>ニュウリョク</t>
    </rPh>
    <rPh sb="31" eb="33">
      <t>カンリ</t>
    </rPh>
    <phoneticPr fontId="2"/>
  </si>
  <si>
    <t>費用対効果</t>
    <rPh sb="0" eb="5">
      <t>ヒヨウタイコウカ</t>
    </rPh>
    <phoneticPr fontId="2"/>
  </si>
  <si>
    <t>現導入年間コスト</t>
    <rPh sb="0" eb="1">
      <t>ゲン</t>
    </rPh>
    <rPh sb="1" eb="3">
      <t>ドウニュウ</t>
    </rPh>
    <rPh sb="3" eb="5">
      <t>ネンカン</t>
    </rPh>
    <phoneticPr fontId="2"/>
  </si>
  <si>
    <t>導入後年間コスト</t>
    <rPh sb="0" eb="2">
      <t>ドウニュウ</t>
    </rPh>
    <rPh sb="2" eb="3">
      <t>ゴ</t>
    </rPh>
    <rPh sb="3" eb="5">
      <t>ネンカン</t>
    </rPh>
    <phoneticPr fontId="2"/>
  </si>
  <si>
    <t>累計差額</t>
    <rPh sb="0" eb="2">
      <t>ルイケイ</t>
    </rPh>
    <rPh sb="2" eb="4">
      <t>サガク</t>
    </rPh>
    <phoneticPr fontId="2"/>
  </si>
  <si>
    <t>投資回数シミュレーション</t>
    <rPh sb="0" eb="2">
      <t>トウシ</t>
    </rPh>
    <rPh sb="2" eb="4">
      <t>カイスウ</t>
    </rPh>
    <phoneticPr fontId="2"/>
  </si>
  <si>
    <t>コストメリット（累計）</t>
    <rPh sb="8" eb="10">
      <t>ルイケイ</t>
    </rPh>
    <phoneticPr fontId="2"/>
  </si>
  <si>
    <t>投資金額（累計）</t>
    <rPh sb="0" eb="2">
      <t>トウシ</t>
    </rPh>
    <rPh sb="2" eb="4">
      <t>キンガク</t>
    </rPh>
    <rPh sb="5" eb="7">
      <t>ルイケイ</t>
    </rPh>
    <phoneticPr fontId="2"/>
  </si>
  <si>
    <t>投資効果（累計）</t>
    <rPh sb="0" eb="2">
      <t>トウシ</t>
    </rPh>
    <rPh sb="2" eb="4">
      <t>コウカ</t>
    </rPh>
    <rPh sb="5" eb="7">
      <t>ルイケイ</t>
    </rPh>
    <phoneticPr fontId="2"/>
  </si>
  <si>
    <t>その他費用</t>
    <rPh sb="2" eb="3">
      <t>タ</t>
    </rPh>
    <rPh sb="3" eb="5">
      <t>ヒヨウ</t>
    </rPh>
    <phoneticPr fontId="2"/>
  </si>
  <si>
    <t>※電気代などその他費用がある場合に記載</t>
    <rPh sb="1" eb="4">
      <t>デンキダイ</t>
    </rPh>
    <rPh sb="8" eb="9">
      <t>タ</t>
    </rPh>
    <rPh sb="9" eb="11">
      <t>ヒヨウ</t>
    </rPh>
    <rPh sb="14" eb="16">
      <t>バアイ</t>
    </rPh>
    <rPh sb="17" eb="19">
      <t>キサイ</t>
    </rPh>
    <phoneticPr fontId="2"/>
  </si>
  <si>
    <t>新システム社内教育費</t>
    <rPh sb="0" eb="1">
      <t>シン</t>
    </rPh>
    <rPh sb="5" eb="7">
      <t>シャナイ</t>
    </rPh>
    <rPh sb="7" eb="10">
      <t>キョウイクヒ</t>
    </rPh>
    <phoneticPr fontId="2"/>
  </si>
  <si>
    <t>新システム業者教育費</t>
    <rPh sb="0" eb="1">
      <t>シン</t>
    </rPh>
    <rPh sb="5" eb="7">
      <t>ギョウシャ</t>
    </rPh>
    <rPh sb="7" eb="10">
      <t>キョウイクヒ</t>
    </rPh>
    <phoneticPr fontId="2"/>
  </si>
  <si>
    <t>初年度</t>
    <rPh sb="0" eb="3">
      <t>ショネンド</t>
    </rPh>
    <phoneticPr fontId="2"/>
  </si>
  <si>
    <t>2年目以降</t>
    <rPh sb="1" eb="3">
      <t>ネンメ</t>
    </rPh>
    <rPh sb="3" eb="5">
      <t>イコウ</t>
    </rPh>
    <phoneticPr fontId="2"/>
  </si>
  <si>
    <t>毎年</t>
    <rPh sb="0" eb="2">
      <t>マイトシ</t>
    </rPh>
    <phoneticPr fontId="2"/>
  </si>
  <si>
    <t>人日</t>
    <rPh sb="0" eb="1">
      <t>ニン</t>
    </rPh>
    <rPh sb="1" eb="2">
      <t>ヒ</t>
    </rPh>
    <phoneticPr fontId="2"/>
  </si>
  <si>
    <t>導入前</t>
    <rPh sb="0" eb="2">
      <t>ドウニュウ</t>
    </rPh>
    <rPh sb="2" eb="3">
      <t>マエ</t>
    </rPh>
    <phoneticPr fontId="2"/>
  </si>
  <si>
    <t>見積担当者</t>
    <rPh sb="0" eb="2">
      <t>ミツモリ</t>
    </rPh>
    <rPh sb="2" eb="5">
      <t>タントウシャ</t>
    </rPh>
    <phoneticPr fontId="2"/>
  </si>
  <si>
    <t>人</t>
    <rPh sb="0" eb="1">
      <t>ニン</t>
    </rPh>
    <phoneticPr fontId="2"/>
  </si>
  <si>
    <t>出来高担当者</t>
    <rPh sb="0" eb="3">
      <t>デキダカ</t>
    </rPh>
    <rPh sb="3" eb="6">
      <t>タントウシャ</t>
    </rPh>
    <phoneticPr fontId="2"/>
  </si>
  <si>
    <t>（平均人数）</t>
    <rPh sb="1" eb="3">
      <t>ヘイキン</t>
    </rPh>
    <rPh sb="3" eb="5">
      <t>ニンズウ</t>
    </rPh>
    <phoneticPr fontId="2"/>
  </si>
  <si>
    <t>注文担当者</t>
    <rPh sb="0" eb="2">
      <t>チュウモン</t>
    </rPh>
    <rPh sb="2" eb="5">
      <t>タントウシャ</t>
    </rPh>
    <phoneticPr fontId="2"/>
  </si>
  <si>
    <t>請求担当者</t>
    <rPh sb="0" eb="2">
      <t>セイキュウ</t>
    </rPh>
    <rPh sb="2" eb="5">
      <t>タントウシャ</t>
    </rPh>
    <phoneticPr fontId="2"/>
  </si>
  <si>
    <t>導入後</t>
    <rPh sb="0" eb="2">
      <t>ドウニュウ</t>
    </rPh>
    <rPh sb="2" eb="3">
      <t>ゴ</t>
    </rPh>
    <phoneticPr fontId="2"/>
  </si>
  <si>
    <t>作業時間（時間[分]/年）</t>
    <rPh sb="0" eb="2">
      <t>サギョウ</t>
    </rPh>
    <rPh sb="2" eb="4">
      <t>ジカン</t>
    </rPh>
    <rPh sb="5" eb="7">
      <t>ジカン</t>
    </rPh>
    <rPh sb="8" eb="9">
      <t>フン</t>
    </rPh>
    <rPh sb="11" eb="12">
      <t>ネン</t>
    </rPh>
    <phoneticPr fontId="2"/>
  </si>
  <si>
    <t>作業時間　前</t>
    <rPh sb="0" eb="2">
      <t>サギョウ</t>
    </rPh>
    <rPh sb="2" eb="4">
      <t>ジカン</t>
    </rPh>
    <rPh sb="5" eb="6">
      <t>マエ</t>
    </rPh>
    <phoneticPr fontId="2"/>
  </si>
  <si>
    <t>経費　前</t>
    <rPh sb="0" eb="2">
      <t>ケイヒ</t>
    </rPh>
    <rPh sb="3" eb="4">
      <t>マエ</t>
    </rPh>
    <phoneticPr fontId="2"/>
  </si>
  <si>
    <t>作業時間　後</t>
    <rPh sb="0" eb="2">
      <t>サギョウ</t>
    </rPh>
    <rPh sb="2" eb="4">
      <t>ジカン</t>
    </rPh>
    <rPh sb="5" eb="6">
      <t>ゴ</t>
    </rPh>
    <phoneticPr fontId="2"/>
  </si>
  <si>
    <t>経費　後</t>
    <rPh sb="0" eb="2">
      <t>ケイヒ</t>
    </rPh>
    <rPh sb="3" eb="4">
      <t>ゴ</t>
    </rPh>
    <phoneticPr fontId="2"/>
  </si>
  <si>
    <t>1ヶ月日数</t>
    <rPh sb="2" eb="3">
      <t>ゲツ</t>
    </rPh>
    <rPh sb="3" eb="5">
      <t>ニッスウ</t>
    </rPh>
    <phoneticPr fontId="2"/>
  </si>
  <si>
    <t>新システム作業要員費</t>
    <rPh sb="0" eb="1">
      <t>シン</t>
    </rPh>
    <rPh sb="5" eb="7">
      <t>サギョウ</t>
    </rPh>
    <rPh sb="7" eb="9">
      <t>ヨウイン</t>
    </rPh>
    <rPh sb="9" eb="10">
      <t>ヒ</t>
    </rPh>
    <phoneticPr fontId="2"/>
  </si>
  <si>
    <t>新システム問合せ要員費</t>
    <rPh sb="0" eb="1">
      <t>シン</t>
    </rPh>
    <rPh sb="5" eb="7">
      <t>トイアワ</t>
    </rPh>
    <rPh sb="8" eb="10">
      <t>ヨウイン</t>
    </rPh>
    <rPh sb="10" eb="11">
      <t>ヒ</t>
    </rPh>
    <phoneticPr fontId="2"/>
  </si>
  <si>
    <t>時間／日</t>
    <rPh sb="0" eb="2">
      <t>ジカン</t>
    </rPh>
    <rPh sb="3" eb="4">
      <t>ヒ</t>
    </rPh>
    <phoneticPr fontId="2"/>
  </si>
  <si>
    <t>新システム業務教育費
年額費</t>
    <rPh sb="0" eb="1">
      <t>シン</t>
    </rPh>
    <rPh sb="5" eb="7">
      <t>ギョウム</t>
    </rPh>
    <rPh sb="7" eb="10">
      <t>キョウイクヒ</t>
    </rPh>
    <rPh sb="11" eb="13">
      <t>ネンガク</t>
    </rPh>
    <rPh sb="13" eb="14">
      <t>ヒ</t>
    </rPh>
    <phoneticPr fontId="2"/>
  </si>
  <si>
    <t>新システム作業要員費
年額費</t>
    <rPh sb="0" eb="1">
      <t>シン</t>
    </rPh>
    <rPh sb="5" eb="7">
      <t>サギョウ</t>
    </rPh>
    <rPh sb="7" eb="9">
      <t>ヨウイン</t>
    </rPh>
    <rPh sb="9" eb="10">
      <t>ヒ</t>
    </rPh>
    <rPh sb="11" eb="13">
      <t>ネンガク</t>
    </rPh>
    <rPh sb="13" eb="14">
      <t>ヒ</t>
    </rPh>
    <phoneticPr fontId="2"/>
  </si>
  <si>
    <t>新システム問合せ要員費
年額費</t>
    <rPh sb="0" eb="1">
      <t>シン</t>
    </rPh>
    <rPh sb="5" eb="7">
      <t>トイアワ</t>
    </rPh>
    <rPh sb="8" eb="10">
      <t>ヨウイン</t>
    </rPh>
    <rPh sb="10" eb="11">
      <t>ヒ</t>
    </rPh>
    <rPh sb="12" eb="14">
      <t>ネンガク</t>
    </rPh>
    <rPh sb="14" eb="15">
      <t>ヒ</t>
    </rPh>
    <phoneticPr fontId="2"/>
  </si>
  <si>
    <t>請求書の入手手段</t>
    <rPh sb="0" eb="3">
      <t>セイキュウショ</t>
    </rPh>
    <rPh sb="4" eb="6">
      <t>ニュウシュ</t>
    </rPh>
    <rPh sb="6" eb="8">
      <t>シュダン</t>
    </rPh>
    <phoneticPr fontId="2"/>
  </si>
  <si>
    <t>請求情報の入力は行わない</t>
    <rPh sb="0" eb="2">
      <t>セイキュウ</t>
    </rPh>
    <rPh sb="2" eb="4">
      <t>ジョウホウ</t>
    </rPh>
    <rPh sb="5" eb="7">
      <t>ニュウリョク</t>
    </rPh>
    <rPh sb="8" eb="9">
      <t>オコナ</t>
    </rPh>
    <phoneticPr fontId="2"/>
  </si>
  <si>
    <t>請求書は保管されていますか、また保管場所は何処ですか</t>
    <rPh sb="0" eb="3">
      <t>セイキュウショ</t>
    </rPh>
    <rPh sb="4" eb="6">
      <t>ホカン</t>
    </rPh>
    <rPh sb="16" eb="18">
      <t>ホカン</t>
    </rPh>
    <rPh sb="18" eb="20">
      <t>バショ</t>
    </rPh>
    <rPh sb="21" eb="23">
      <t>ドコ</t>
    </rPh>
    <phoneticPr fontId="2"/>
  </si>
  <si>
    <t>(ア)</t>
  </si>
  <si>
    <t>(イ)</t>
  </si>
  <si>
    <t>(ウ)</t>
  </si>
  <si>
    <t>その他</t>
    <phoneticPr fontId="2"/>
  </si>
  <si>
    <t>入力するセルです</t>
    <rPh sb="0" eb="2">
      <t>ニュウリョク</t>
    </rPh>
    <phoneticPr fontId="2"/>
  </si>
  <si>
    <t>自動計算するセルです</t>
    <rPh sb="0" eb="2">
      <t>ジドウ</t>
    </rPh>
    <rPh sb="2" eb="4">
      <t>ケイサン</t>
    </rPh>
    <phoneticPr fontId="2"/>
  </si>
  <si>
    <t>調査対象範囲</t>
    <rPh sb="0" eb="2">
      <t>チョウサ</t>
    </rPh>
    <rPh sb="2" eb="4">
      <t>タイショウ</t>
    </rPh>
    <rPh sb="4" eb="6">
      <t>ハンイ</t>
    </rPh>
    <phoneticPr fontId="2"/>
  </si>
  <si>
    <t>書類量調査の対象範囲</t>
    <rPh sb="0" eb="2">
      <t>ショルイ</t>
    </rPh>
    <rPh sb="2" eb="3">
      <t>リョウ</t>
    </rPh>
    <rPh sb="3" eb="5">
      <t>チョウサ</t>
    </rPh>
    <rPh sb="6" eb="8">
      <t>タイショウ</t>
    </rPh>
    <rPh sb="8" eb="10">
      <t>ハンイ</t>
    </rPh>
    <phoneticPr fontId="2"/>
  </si>
  <si>
    <t>■書類量調査の対象範囲を選択してください</t>
    <rPh sb="1" eb="3">
      <t>ショルイ</t>
    </rPh>
    <rPh sb="3" eb="4">
      <t>リョウ</t>
    </rPh>
    <rPh sb="4" eb="6">
      <t>チョウサ</t>
    </rPh>
    <rPh sb="7" eb="9">
      <t>タイショウ</t>
    </rPh>
    <rPh sb="9" eb="11">
      <t>ハンイ</t>
    </rPh>
    <rPh sb="12" eb="14">
      <t>センタク</t>
    </rPh>
    <phoneticPr fontId="2"/>
  </si>
  <si>
    <t>　※候補：[0=全社、1=部署・工種などの特定範囲]</t>
    <rPh sb="8" eb="10">
      <t>ゼンシャ</t>
    </rPh>
    <rPh sb="13" eb="15">
      <t>ブショ</t>
    </rPh>
    <rPh sb="16" eb="17">
      <t>コウ</t>
    </rPh>
    <rPh sb="17" eb="18">
      <t>シュ</t>
    </rPh>
    <rPh sb="21" eb="23">
      <t>トクテイ</t>
    </rPh>
    <rPh sb="23" eb="25">
      <t>ハンイ</t>
    </rPh>
    <phoneticPr fontId="2"/>
  </si>
  <si>
    <t>数字で入力</t>
    <rPh sb="0" eb="2">
      <t>スウジ</t>
    </rPh>
    <rPh sb="3" eb="5">
      <t>ニュウリョク</t>
    </rPh>
    <phoneticPr fontId="2"/>
  </si>
  <si>
    <t>書類量調査</t>
    <rPh sb="0" eb="2">
      <t>ショルイ</t>
    </rPh>
    <rPh sb="2" eb="3">
      <t>リョウ</t>
    </rPh>
    <rPh sb="3" eb="5">
      <t>チョウサ</t>
    </rPh>
    <phoneticPr fontId="2"/>
  </si>
  <si>
    <t>現業務調査シート（発注者）</t>
    <rPh sb="9" eb="12">
      <t>ハッチュウシャ</t>
    </rPh>
    <phoneticPr fontId="2"/>
  </si>
  <si>
    <t>FAX</t>
    <phoneticPr fontId="2"/>
  </si>
  <si>
    <t>取引先へ持ち込み</t>
    <rPh sb="0" eb="2">
      <t>トリヒキ</t>
    </rPh>
    <rPh sb="2" eb="3">
      <t>サキ</t>
    </rPh>
    <rPh sb="4" eb="5">
      <t>モ</t>
    </rPh>
    <rPh sb="6" eb="7">
      <t>コ</t>
    </rPh>
    <phoneticPr fontId="2"/>
  </si>
  <si>
    <t>取引先が持ち帰り</t>
    <rPh sb="0" eb="2">
      <t>トリヒキ</t>
    </rPh>
    <rPh sb="2" eb="3">
      <t>サキ</t>
    </rPh>
    <rPh sb="4" eb="5">
      <t>モ</t>
    </rPh>
    <rPh sb="6" eb="7">
      <t>カエ</t>
    </rPh>
    <phoneticPr fontId="2"/>
  </si>
  <si>
    <t>【印刷・捺印・コピー・保管　・・・など】</t>
    <phoneticPr fontId="2"/>
  </si>
  <si>
    <t>■見積依頼書の書類枚数を調査する項目です。</t>
    <rPh sb="1" eb="3">
      <t>ミツモリ</t>
    </rPh>
    <rPh sb="3" eb="5">
      <t>イライ</t>
    </rPh>
    <rPh sb="5" eb="6">
      <t>ショ</t>
    </rPh>
    <rPh sb="7" eb="9">
      <t>ショルイ</t>
    </rPh>
    <rPh sb="9" eb="11">
      <t>マイスウ</t>
    </rPh>
    <rPh sb="12" eb="14">
      <t>チョウサ</t>
    </rPh>
    <rPh sb="16" eb="18">
      <t>コウモク</t>
    </rPh>
    <phoneticPr fontId="2"/>
  </si>
  <si>
    <t>鑑情報は、紙面にして平均何枚程度ありますか</t>
    <rPh sb="0" eb="1">
      <t>カガミ</t>
    </rPh>
    <rPh sb="1" eb="3">
      <t>ジョウホウ</t>
    </rPh>
    <rPh sb="5" eb="7">
      <t>シメン</t>
    </rPh>
    <rPh sb="10" eb="12">
      <t>ヘイキン</t>
    </rPh>
    <rPh sb="12" eb="14">
      <t>ナンマイ</t>
    </rPh>
    <rPh sb="14" eb="16">
      <t>テイド</t>
    </rPh>
    <phoneticPr fontId="2"/>
  </si>
  <si>
    <t>明細情報は、紙面にして平均何枚程度ありますか</t>
    <rPh sb="0" eb="2">
      <t>メイサイ</t>
    </rPh>
    <rPh sb="2" eb="4">
      <t>ジョウホウ</t>
    </rPh>
    <rPh sb="6" eb="8">
      <t>シメン</t>
    </rPh>
    <rPh sb="11" eb="13">
      <t>ヘイキン</t>
    </rPh>
    <rPh sb="13" eb="15">
      <t>ナンマイ</t>
    </rPh>
    <rPh sb="15" eb="17">
      <t>テイド</t>
    </rPh>
    <phoneticPr fontId="2"/>
  </si>
  <si>
    <t>その他、見積りに係わる設計図書等の書類枚数はどの程度ありますか</t>
    <rPh sb="2" eb="3">
      <t>タ</t>
    </rPh>
    <rPh sb="4" eb="6">
      <t>ミツモリ</t>
    </rPh>
    <rPh sb="8" eb="9">
      <t>カカ</t>
    </rPh>
    <rPh sb="11" eb="13">
      <t>セッケイ</t>
    </rPh>
    <rPh sb="13" eb="15">
      <t>トショ</t>
    </rPh>
    <rPh sb="15" eb="16">
      <t>トウ</t>
    </rPh>
    <rPh sb="17" eb="19">
      <t>ショルイ</t>
    </rPh>
    <rPh sb="19" eb="21">
      <t>マイスウ</t>
    </rPh>
    <rPh sb="24" eb="26">
      <t>テイド</t>
    </rPh>
    <phoneticPr fontId="2"/>
  </si>
  <si>
    <t>社員数</t>
    <rPh sb="0" eb="2">
      <t>シャイン</t>
    </rPh>
    <rPh sb="2" eb="3">
      <t>スウ</t>
    </rPh>
    <phoneticPr fontId="2"/>
  </si>
  <si>
    <t>老朽化更新</t>
    <rPh sb="0" eb="3">
      <t>ロウキュウカ</t>
    </rPh>
    <rPh sb="3" eb="5">
      <t>コウシン</t>
    </rPh>
    <phoneticPr fontId="2"/>
  </si>
  <si>
    <t>業種</t>
    <rPh sb="0" eb="2">
      <t>ギョウシュ</t>
    </rPh>
    <phoneticPr fontId="2"/>
  </si>
  <si>
    <t>総合建設業</t>
    <rPh sb="0" eb="2">
      <t>ソウゴウ</t>
    </rPh>
    <rPh sb="2" eb="5">
      <t>ケンセツギョウ</t>
    </rPh>
    <phoneticPr fontId="2"/>
  </si>
  <si>
    <t>年間契約件数</t>
    <rPh sb="0" eb="2">
      <t>ネンカン</t>
    </rPh>
    <rPh sb="2" eb="4">
      <t>ケイヤク</t>
    </rPh>
    <rPh sb="4" eb="6">
      <t>ケンスウ</t>
    </rPh>
    <phoneticPr fontId="2"/>
  </si>
  <si>
    <t>件</t>
    <rPh sb="0" eb="1">
      <t>ケン</t>
    </rPh>
    <phoneticPr fontId="2"/>
  </si>
  <si>
    <t>購買～注文</t>
    <rPh sb="0" eb="2">
      <t>コウバイ</t>
    </rPh>
    <rPh sb="3" eb="5">
      <t>チュウモン</t>
    </rPh>
    <phoneticPr fontId="2"/>
  </si>
  <si>
    <t>出来高～請求</t>
    <rPh sb="0" eb="3">
      <t>デキダカ</t>
    </rPh>
    <rPh sb="4" eb="6">
      <t>セイキュウ</t>
    </rPh>
    <phoneticPr fontId="2"/>
  </si>
  <si>
    <t>業務区分</t>
    <rPh sb="0" eb="2">
      <t>ギョウム</t>
    </rPh>
    <rPh sb="2" eb="4">
      <t>クブン</t>
    </rPh>
    <phoneticPr fontId="2"/>
  </si>
  <si>
    <t>発注者</t>
    <rPh sb="0" eb="2">
      <t>ハッチュウ</t>
    </rPh>
    <rPh sb="2" eb="3">
      <t>シャ</t>
    </rPh>
    <phoneticPr fontId="2"/>
  </si>
  <si>
    <t>企業情報</t>
    <rPh sb="0" eb="2">
      <t>キギョウ</t>
    </rPh>
    <rPh sb="2" eb="4">
      <t>ジョウホウ</t>
    </rPh>
    <phoneticPr fontId="2"/>
  </si>
  <si>
    <t>導入タイプ</t>
    <rPh sb="0" eb="2">
      <t>ドウニュウ</t>
    </rPh>
    <phoneticPr fontId="2"/>
  </si>
  <si>
    <t>ＡＳＰ活用タイプⅠ</t>
    <rPh sb="3" eb="5">
      <t>カツヨウ</t>
    </rPh>
    <phoneticPr fontId="2"/>
  </si>
  <si>
    <t>ＡＳＰ活用タイプⅡ</t>
    <rPh sb="3" eb="5">
      <t>カツヨウ</t>
    </rPh>
    <phoneticPr fontId="2"/>
  </si>
  <si>
    <t>１見積依頼書あたりの平均明細行数はどの程度ありますか</t>
    <rPh sb="1" eb="3">
      <t>ミツモリ</t>
    </rPh>
    <rPh sb="3" eb="5">
      <t>イライ</t>
    </rPh>
    <rPh sb="5" eb="6">
      <t>ショ</t>
    </rPh>
    <rPh sb="10" eb="12">
      <t>ヘイキン</t>
    </rPh>
    <rPh sb="12" eb="14">
      <t>メイサイ</t>
    </rPh>
    <rPh sb="14" eb="16">
      <t>ギョウスウ</t>
    </rPh>
    <rPh sb="19" eb="21">
      <t>テイド</t>
    </rPh>
    <phoneticPr fontId="2"/>
  </si>
  <si>
    <t>■見積依頼書の書類保管を調査する項目です。</t>
    <rPh sb="1" eb="3">
      <t>ミツモリ</t>
    </rPh>
    <rPh sb="3" eb="5">
      <t>イライ</t>
    </rPh>
    <rPh sb="5" eb="6">
      <t>ショ</t>
    </rPh>
    <rPh sb="7" eb="9">
      <t>ショルイ</t>
    </rPh>
    <rPh sb="9" eb="11">
      <t>ホカン</t>
    </rPh>
    <rPh sb="12" eb="14">
      <t>チョウサ</t>
    </rPh>
    <rPh sb="16" eb="18">
      <t>コウモク</t>
    </rPh>
    <phoneticPr fontId="2"/>
  </si>
  <si>
    <t>1件の見積もりを平均何社に提出しますか</t>
    <rPh sb="1" eb="2">
      <t>ケン</t>
    </rPh>
    <rPh sb="3" eb="5">
      <t>ミツ</t>
    </rPh>
    <rPh sb="8" eb="10">
      <t>ヘイキン</t>
    </rPh>
    <rPh sb="10" eb="12">
      <t>ナンシャ</t>
    </rPh>
    <rPh sb="13" eb="15">
      <t>テイシュツ</t>
    </rPh>
    <phoneticPr fontId="2"/>
  </si>
  <si>
    <t>　※相見積りを行わない場合は”1社”としてください。</t>
    <phoneticPr fontId="2"/>
  </si>
  <si>
    <t>1件あたりの見積比較にかける時間の平均は</t>
    <rPh sb="1" eb="2">
      <t>ケン</t>
    </rPh>
    <rPh sb="6" eb="8">
      <t>ミツモリ</t>
    </rPh>
    <rPh sb="8" eb="10">
      <t>ヒカク</t>
    </rPh>
    <rPh sb="14" eb="16">
      <t>ジカン</t>
    </rPh>
    <rPh sb="17" eb="19">
      <t>ヘイキン</t>
    </rPh>
    <phoneticPr fontId="2"/>
  </si>
  <si>
    <t>　※比較に係る全ての作業時間（比較・相談・承認など）</t>
    <phoneticPr fontId="2"/>
  </si>
  <si>
    <t>1件あたりの単価折衝ににかける時間の平均は</t>
    <rPh sb="1" eb="2">
      <t>ケン</t>
    </rPh>
    <rPh sb="6" eb="8">
      <t>タンカ</t>
    </rPh>
    <rPh sb="8" eb="10">
      <t>セッショウ</t>
    </rPh>
    <rPh sb="15" eb="17">
      <t>ジカン</t>
    </rPh>
    <rPh sb="18" eb="20">
      <t>ヘイキン</t>
    </rPh>
    <phoneticPr fontId="2"/>
  </si>
  <si>
    <t>計算式、備考</t>
    <rPh sb="0" eb="2">
      <t>ケイサン</t>
    </rPh>
    <rPh sb="2" eb="3">
      <t>シキ</t>
    </rPh>
    <rPh sb="4" eb="6">
      <t>ビコウ</t>
    </rPh>
    <phoneticPr fontId="2"/>
  </si>
  <si>
    <t>年間の注文は何件くらいありますか</t>
    <rPh sb="0" eb="2">
      <t>ネンカン</t>
    </rPh>
    <rPh sb="3" eb="5">
      <t>チュウモン</t>
    </rPh>
    <rPh sb="6" eb="8">
      <t>ナンケン</t>
    </rPh>
    <phoneticPr fontId="2"/>
  </si>
  <si>
    <t>　※候補：[0=保管しない、1=作業所保管、2=本社、支店保管]</t>
    <phoneticPr fontId="2"/>
  </si>
  <si>
    <t>　※候補：[0=保管しない、1=作業所保管、2=本社、支店保管]</t>
    <phoneticPr fontId="2"/>
  </si>
  <si>
    <t>　※候補：[0=保管しない、1=作業所保管、2=本社、支店保管]</t>
    <phoneticPr fontId="2"/>
  </si>
  <si>
    <t>年間の請求は何件くらいありますか</t>
    <rPh sb="0" eb="2">
      <t>ネンカン</t>
    </rPh>
    <rPh sb="3" eb="5">
      <t>セイキュウ</t>
    </rPh>
    <rPh sb="6" eb="8">
      <t>ナンケン</t>
    </rPh>
    <phoneticPr fontId="2"/>
  </si>
  <si>
    <t>上記の請求件数のうち、契約、契約外の割合を入力してください。</t>
    <phoneticPr fontId="2"/>
  </si>
  <si>
    <t>※本書の「契約外」とは文房具・副資材購入など、契約書の取り交わしなく請求書を受け付けるような場合を指します</t>
    <rPh sb="1" eb="3">
      <t>ホンショ</t>
    </rPh>
    <rPh sb="15" eb="16">
      <t>フク</t>
    </rPh>
    <rPh sb="16" eb="18">
      <t>シザイ</t>
    </rPh>
    <rPh sb="46" eb="48">
      <t>バアイ</t>
    </rPh>
    <rPh sb="49" eb="50">
      <t>サ</t>
    </rPh>
    <phoneticPr fontId="2"/>
  </si>
  <si>
    <t>=現業務調査シートより抜粋</t>
    <rPh sb="1" eb="2">
      <t>ゲン</t>
    </rPh>
    <rPh sb="2" eb="4">
      <t>ギョウム</t>
    </rPh>
    <rPh sb="4" eb="6">
      <t>チョウサ</t>
    </rPh>
    <rPh sb="11" eb="13">
      <t>バッスイ</t>
    </rPh>
    <phoneticPr fontId="2"/>
  </si>
  <si>
    <t>割合</t>
    <rPh sb="0" eb="2">
      <t>ワリアイ</t>
    </rPh>
    <phoneticPr fontId="2"/>
  </si>
  <si>
    <t>作業時間
（コスト）</t>
    <rPh sb="0" eb="2">
      <t>サギョウ</t>
    </rPh>
    <rPh sb="2" eb="4">
      <t>ジカン</t>
    </rPh>
    <phoneticPr fontId="2"/>
  </si>
  <si>
    <t>経費など</t>
    <rPh sb="0" eb="2">
      <t>ケイヒ</t>
    </rPh>
    <phoneticPr fontId="2"/>
  </si>
  <si>
    <t>作業時間
（時間/分）</t>
    <rPh sb="0" eb="2">
      <t>サギョウ</t>
    </rPh>
    <rPh sb="2" eb="4">
      <t>ジカン</t>
    </rPh>
    <rPh sb="6" eb="8">
      <t>ジカン</t>
    </rPh>
    <rPh sb="9" eb="10">
      <t>フン</t>
    </rPh>
    <phoneticPr fontId="2"/>
  </si>
  <si>
    <t>時間</t>
    <rPh sb="0" eb="2">
      <t>ジカン</t>
    </rPh>
    <phoneticPr fontId="2"/>
  </si>
  <si>
    <t>合計（年間）</t>
    <rPh sb="0" eb="2">
      <t>ゴウケイ</t>
    </rPh>
    <rPh sb="3" eb="5">
      <t>ネンカン</t>
    </rPh>
    <phoneticPr fontId="2"/>
  </si>
  <si>
    <t>郵送等で
受け取る</t>
    <rPh sb="0" eb="2">
      <t>ユウソウ</t>
    </rPh>
    <rPh sb="2" eb="3">
      <t>トウ</t>
    </rPh>
    <rPh sb="5" eb="6">
      <t>ウ</t>
    </rPh>
    <rPh sb="7" eb="8">
      <t>ト</t>
    </rPh>
    <phoneticPr fontId="2"/>
  </si>
  <si>
    <t>購買電子化率</t>
    <rPh sb="0" eb="2">
      <t>コウバイ</t>
    </rPh>
    <rPh sb="2" eb="5">
      <t>デンシカ</t>
    </rPh>
    <rPh sb="5" eb="6">
      <t>リツ</t>
    </rPh>
    <phoneticPr fontId="2"/>
  </si>
  <si>
    <t>出来高電子化率</t>
    <rPh sb="0" eb="3">
      <t>デキダカ</t>
    </rPh>
    <rPh sb="3" eb="6">
      <t>デンシカ</t>
    </rPh>
    <rPh sb="6" eb="7">
      <t>リツ</t>
    </rPh>
    <phoneticPr fontId="2"/>
  </si>
  <si>
    <t>購買・注文 電子化率</t>
    <rPh sb="0" eb="2">
      <t>コウバイ</t>
    </rPh>
    <rPh sb="3" eb="5">
      <t>チュウモン</t>
    </rPh>
    <rPh sb="6" eb="9">
      <t>デンシカ</t>
    </rPh>
    <rPh sb="9" eb="10">
      <t>リツ</t>
    </rPh>
    <phoneticPr fontId="2"/>
  </si>
  <si>
    <t>出来高・請求 電子化率</t>
    <rPh sb="0" eb="3">
      <t>デキダカ</t>
    </rPh>
    <rPh sb="4" eb="6">
      <t>セイキュウ</t>
    </rPh>
    <rPh sb="7" eb="10">
      <t>デンシカ</t>
    </rPh>
    <rPh sb="10" eb="11">
      <t>リツ</t>
    </rPh>
    <phoneticPr fontId="2"/>
  </si>
  <si>
    <t>ASP活用タイプI</t>
    <rPh sb="3" eb="5">
      <t>カツヨウ</t>
    </rPh>
    <phoneticPr fontId="2"/>
  </si>
  <si>
    <t>ASP活用タイプII</t>
    <rPh sb="3" eb="5">
      <t>カツヨウ</t>
    </rPh>
    <phoneticPr fontId="2"/>
  </si>
  <si>
    <t>共通事項</t>
    <rPh sb="0" eb="2">
      <t>キョウツウ</t>
    </rPh>
    <rPh sb="2" eb="4">
      <t>ジコウ</t>
    </rPh>
    <phoneticPr fontId="2"/>
  </si>
  <si>
    <t>ハードウェア更新年</t>
    <rPh sb="6" eb="8">
      <t>コウシン</t>
    </rPh>
    <rPh sb="8" eb="9">
      <t>ネン</t>
    </rPh>
    <phoneticPr fontId="2"/>
  </si>
  <si>
    <t>年ごと更新</t>
    <rPh sb="0" eb="1">
      <t>ネン</t>
    </rPh>
    <rPh sb="3" eb="5">
      <t>コウシン</t>
    </rPh>
    <phoneticPr fontId="2"/>
  </si>
  <si>
    <t>連携システム初期費
※購買・注文</t>
    <rPh sb="6" eb="8">
      <t>ショキ</t>
    </rPh>
    <rPh sb="8" eb="9">
      <t>ヒ</t>
    </rPh>
    <rPh sb="11" eb="13">
      <t>コウバイ</t>
    </rPh>
    <rPh sb="14" eb="16">
      <t>チュウモン</t>
    </rPh>
    <phoneticPr fontId="2"/>
  </si>
  <si>
    <t>連携システム初期費
※出来高・請求</t>
    <rPh sb="6" eb="8">
      <t>ショキ</t>
    </rPh>
    <rPh sb="8" eb="9">
      <t>ヒ</t>
    </rPh>
    <rPh sb="11" eb="14">
      <t>デキダカ</t>
    </rPh>
    <rPh sb="15" eb="17">
      <t>セイキュウ</t>
    </rPh>
    <phoneticPr fontId="2"/>
  </si>
  <si>
    <t>原本保管システム初期費</t>
    <rPh sb="0" eb="2">
      <t>ゲンポン</t>
    </rPh>
    <rPh sb="2" eb="4">
      <t>ホカン</t>
    </rPh>
    <rPh sb="8" eb="10">
      <t>ショキ</t>
    </rPh>
    <rPh sb="10" eb="11">
      <t>ヒ</t>
    </rPh>
    <phoneticPr fontId="2"/>
  </si>
  <si>
    <t>業務システム初期費
※購買・注文
※カスタマイズ費含む</t>
    <rPh sb="0" eb="2">
      <t>ギョウム</t>
    </rPh>
    <rPh sb="6" eb="8">
      <t>ショキ</t>
    </rPh>
    <rPh sb="8" eb="9">
      <t>ヒ</t>
    </rPh>
    <rPh sb="11" eb="13">
      <t>コウバイ</t>
    </rPh>
    <rPh sb="14" eb="16">
      <t>チュウモン</t>
    </rPh>
    <rPh sb="24" eb="25">
      <t>ヒ</t>
    </rPh>
    <rPh sb="25" eb="26">
      <t>フク</t>
    </rPh>
    <phoneticPr fontId="2"/>
  </si>
  <si>
    <t>業務システム初期費
※出来高・請求
※カスタマイズ費含む</t>
    <rPh sb="0" eb="2">
      <t>ギョウム</t>
    </rPh>
    <rPh sb="6" eb="8">
      <t>ショキ</t>
    </rPh>
    <rPh sb="8" eb="9">
      <t>ヒ</t>
    </rPh>
    <rPh sb="11" eb="14">
      <t>デキダカ</t>
    </rPh>
    <rPh sb="15" eb="17">
      <t>セイキュウ</t>
    </rPh>
    <phoneticPr fontId="2"/>
  </si>
  <si>
    <t>業務システム年額費
※購買・注文</t>
    <rPh sb="0" eb="2">
      <t>ギョウム</t>
    </rPh>
    <rPh sb="6" eb="8">
      <t>ネンガク</t>
    </rPh>
    <rPh sb="8" eb="9">
      <t>ヒ</t>
    </rPh>
    <rPh sb="11" eb="13">
      <t>コウバイ</t>
    </rPh>
    <rPh sb="14" eb="16">
      <t>チュウモン</t>
    </rPh>
    <phoneticPr fontId="2"/>
  </si>
  <si>
    <t>業務システム年額費
※出来高・請求</t>
    <rPh sb="0" eb="2">
      <t>ギョウム</t>
    </rPh>
    <rPh sb="6" eb="8">
      <t>ネンガク</t>
    </rPh>
    <rPh sb="8" eb="9">
      <t>ヒ</t>
    </rPh>
    <rPh sb="11" eb="14">
      <t>デキダカ</t>
    </rPh>
    <rPh sb="15" eb="17">
      <t>セイキュウ</t>
    </rPh>
    <phoneticPr fontId="2"/>
  </si>
  <si>
    <t>原本保管システム年額費</t>
    <rPh sb="0" eb="2">
      <t>ゲンポン</t>
    </rPh>
    <rPh sb="2" eb="4">
      <t>ホカン</t>
    </rPh>
    <rPh sb="8" eb="10">
      <t>ネンガク</t>
    </rPh>
    <rPh sb="10" eb="11">
      <t>ヒ</t>
    </rPh>
    <phoneticPr fontId="2"/>
  </si>
  <si>
    <t>取引先が
持ち込み</t>
    <rPh sb="0" eb="2">
      <t>トリヒキ</t>
    </rPh>
    <rPh sb="2" eb="3">
      <t>サキ</t>
    </rPh>
    <rPh sb="5" eb="6">
      <t>モ</t>
    </rPh>
    <rPh sb="7" eb="8">
      <t>コ</t>
    </rPh>
    <phoneticPr fontId="2"/>
  </si>
  <si>
    <t>注文請書の受け取り
※1分を想定</t>
    <rPh sb="0" eb="2">
      <t>チュウモン</t>
    </rPh>
    <rPh sb="2" eb="4">
      <t>ウケショ</t>
    </rPh>
    <rPh sb="5" eb="6">
      <t>ウ</t>
    </rPh>
    <rPh sb="7" eb="8">
      <t>ト</t>
    </rPh>
    <rPh sb="12" eb="13">
      <t>フン</t>
    </rPh>
    <rPh sb="14" eb="16">
      <t>ソウテイ</t>
    </rPh>
    <phoneticPr fontId="2"/>
  </si>
  <si>
    <t>書類枚数
※1枚と想定</t>
    <rPh sb="0" eb="2">
      <t>ショルイ</t>
    </rPh>
    <rPh sb="2" eb="4">
      <t>マイスウ</t>
    </rPh>
    <rPh sb="7" eb="8">
      <t>マイ</t>
    </rPh>
    <rPh sb="9" eb="11">
      <t>ソウテイ</t>
    </rPh>
    <phoneticPr fontId="2"/>
  </si>
  <si>
    <t>現状倉庫にあるダンボール数
※（ア）×10年分と想定</t>
    <rPh sb="0" eb="2">
      <t>ゲンジョウ</t>
    </rPh>
    <rPh sb="2" eb="4">
      <t>ソウコ</t>
    </rPh>
    <rPh sb="12" eb="13">
      <t>スウ</t>
    </rPh>
    <rPh sb="21" eb="23">
      <t>ネンブン</t>
    </rPh>
    <rPh sb="24" eb="26">
      <t>ソウテイ</t>
    </rPh>
    <phoneticPr fontId="2"/>
  </si>
  <si>
    <t>年間で発生するダンボール数
（業務書類量調査シートより参照）</t>
    <rPh sb="0" eb="2">
      <t>ネンカン</t>
    </rPh>
    <rPh sb="3" eb="5">
      <t>ハッセイ</t>
    </rPh>
    <rPh sb="12" eb="13">
      <t>スウ</t>
    </rPh>
    <rPh sb="15" eb="17">
      <t>ギョウム</t>
    </rPh>
    <rPh sb="17" eb="19">
      <t>ショルイ</t>
    </rPh>
    <rPh sb="19" eb="20">
      <t>リョウ</t>
    </rPh>
    <rPh sb="20" eb="22">
      <t>チョウサ</t>
    </rPh>
    <rPh sb="27" eb="29">
      <t>サンショウ</t>
    </rPh>
    <phoneticPr fontId="2"/>
  </si>
  <si>
    <t>　※折衝に係る全ての作業時間（電話等による価格交渉など）</t>
    <rPh sb="17" eb="18">
      <t>トウ</t>
    </rPh>
    <rPh sb="21" eb="23">
      <t>カカク</t>
    </rPh>
    <rPh sb="23" eb="25">
      <t>コウショウ</t>
    </rPh>
    <phoneticPr fontId="2"/>
  </si>
  <si>
    <t>　※例）1日目に電話で20分交渉した、2日目に電話で15分交渉した場合→35分/1件となります。</t>
    <rPh sb="2" eb="3">
      <t>レイ</t>
    </rPh>
    <rPh sb="5" eb="6">
      <t>ヒ</t>
    </rPh>
    <rPh sb="6" eb="7">
      <t>メ</t>
    </rPh>
    <rPh sb="8" eb="10">
      <t>デンワ</t>
    </rPh>
    <rPh sb="13" eb="14">
      <t>フン</t>
    </rPh>
    <rPh sb="14" eb="16">
      <t>コウショウ</t>
    </rPh>
    <rPh sb="20" eb="21">
      <t>ヒ</t>
    </rPh>
    <rPh sb="21" eb="22">
      <t>メ</t>
    </rPh>
    <rPh sb="23" eb="25">
      <t>デンワ</t>
    </rPh>
    <rPh sb="28" eb="29">
      <t>フン</t>
    </rPh>
    <rPh sb="29" eb="31">
      <t>コウショウ</t>
    </rPh>
    <rPh sb="33" eb="35">
      <t>バアイ</t>
    </rPh>
    <rPh sb="38" eb="39">
      <t>フン</t>
    </rPh>
    <rPh sb="41" eb="42">
      <t>ケン</t>
    </rPh>
    <phoneticPr fontId="2"/>
  </si>
  <si>
    <t>■見積回答書の書類保管を調査する項目です。</t>
    <rPh sb="1" eb="3">
      <t>ミツモリ</t>
    </rPh>
    <rPh sb="3" eb="5">
      <t>カイトウ</t>
    </rPh>
    <rPh sb="5" eb="6">
      <t>ショ</t>
    </rPh>
    <rPh sb="7" eb="9">
      <t>ショルイ</t>
    </rPh>
    <rPh sb="9" eb="11">
      <t>ホカン</t>
    </rPh>
    <rPh sb="12" eb="14">
      <t>チョウサ</t>
    </rPh>
    <rPh sb="16" eb="18">
      <t>コウモク</t>
    </rPh>
    <phoneticPr fontId="2"/>
  </si>
  <si>
    <t>【印刷・捺印・コピー】</t>
    <phoneticPr fontId="2"/>
  </si>
  <si>
    <t>■注文書の書類枚数を調査する項目です。</t>
    <rPh sb="1" eb="3">
      <t>チュウモン</t>
    </rPh>
    <rPh sb="3" eb="4">
      <t>ショ</t>
    </rPh>
    <rPh sb="5" eb="7">
      <t>ショルイ</t>
    </rPh>
    <rPh sb="7" eb="9">
      <t>マイスウ</t>
    </rPh>
    <rPh sb="10" eb="12">
      <t>チョウサ</t>
    </rPh>
    <rPh sb="14" eb="16">
      <t>コウモク</t>
    </rPh>
    <phoneticPr fontId="2"/>
  </si>
  <si>
    <t>その他、注文に係わる約款・条件所等の書類枚数はどの程度ありますか</t>
    <rPh sb="2" eb="3">
      <t>タ</t>
    </rPh>
    <rPh sb="4" eb="6">
      <t>チュウモン</t>
    </rPh>
    <rPh sb="7" eb="8">
      <t>カカ</t>
    </rPh>
    <rPh sb="10" eb="12">
      <t>ヤッカン</t>
    </rPh>
    <rPh sb="13" eb="15">
      <t>ジョウケン</t>
    </rPh>
    <rPh sb="15" eb="16">
      <t>ショ</t>
    </rPh>
    <rPh sb="16" eb="17">
      <t>トウ</t>
    </rPh>
    <rPh sb="18" eb="20">
      <t>ショルイ</t>
    </rPh>
    <rPh sb="20" eb="22">
      <t>マイスウ</t>
    </rPh>
    <rPh sb="25" eb="27">
      <t>テイド</t>
    </rPh>
    <phoneticPr fontId="2"/>
  </si>
  <si>
    <t>１注文書あたりの平均明細行数はどの程度ありますか</t>
    <rPh sb="1" eb="3">
      <t>チュウモン</t>
    </rPh>
    <rPh sb="3" eb="4">
      <t>ショ</t>
    </rPh>
    <rPh sb="8" eb="10">
      <t>ヘイキン</t>
    </rPh>
    <rPh sb="10" eb="12">
      <t>メイサイ</t>
    </rPh>
    <rPh sb="12" eb="14">
      <t>ギョウスウ</t>
    </rPh>
    <rPh sb="17" eb="19">
      <t>テイド</t>
    </rPh>
    <phoneticPr fontId="2"/>
  </si>
  <si>
    <t>■注文書の書類保管を調査する項目です。</t>
    <rPh sb="1" eb="3">
      <t>チュウモン</t>
    </rPh>
    <rPh sb="3" eb="4">
      <t>ショ</t>
    </rPh>
    <rPh sb="5" eb="7">
      <t>ショルイ</t>
    </rPh>
    <rPh sb="7" eb="9">
      <t>ホカン</t>
    </rPh>
    <rPh sb="10" eb="12">
      <t>チョウサ</t>
    </rPh>
    <rPh sb="14" eb="16">
      <t>コウモク</t>
    </rPh>
    <phoneticPr fontId="2"/>
  </si>
  <si>
    <t>郵送等で受け取る</t>
    <rPh sb="0" eb="2">
      <t>ユウソウ</t>
    </rPh>
    <rPh sb="2" eb="3">
      <t>トウ</t>
    </rPh>
    <rPh sb="4" eb="5">
      <t>ウ</t>
    </rPh>
    <rPh sb="6" eb="7">
      <t>ト</t>
    </rPh>
    <phoneticPr fontId="2"/>
  </si>
  <si>
    <t>取引先が持ち込み</t>
    <rPh sb="0" eb="2">
      <t>トリヒキ</t>
    </rPh>
    <rPh sb="2" eb="3">
      <t>サキ</t>
    </rPh>
    <rPh sb="4" eb="5">
      <t>モ</t>
    </rPh>
    <rPh sb="6" eb="7">
      <t>コ</t>
    </rPh>
    <phoneticPr fontId="2"/>
  </si>
  <si>
    <t>　※候補:[0=取引業者が提示、1=取引業者と協議]</t>
    <phoneticPr fontId="2"/>
  </si>
  <si>
    <t>　※候補:[0=対面、1=FAX後に電話、2=郵送後に電話、3=その他]</t>
    <phoneticPr fontId="2"/>
  </si>
  <si>
    <t>■受注者から請求書を入手する手段の割合を調査する項目です。全体が100%となるよう入力してください。</t>
    <rPh sb="1" eb="4">
      <t>ジュチュウシャ</t>
    </rPh>
    <rPh sb="6" eb="9">
      <t>セイキュウショ</t>
    </rPh>
    <rPh sb="10" eb="12">
      <t>ニュウシュ</t>
    </rPh>
    <rPh sb="14" eb="16">
      <t>シュダン</t>
    </rPh>
    <rPh sb="17" eb="19">
      <t>ワリアイ</t>
    </rPh>
    <rPh sb="20" eb="22">
      <t>チョウサ</t>
    </rPh>
    <rPh sb="24" eb="26">
      <t>コウモク</t>
    </rPh>
    <rPh sb="29" eb="31">
      <t>ゼンタイ</t>
    </rPh>
    <rPh sb="41" eb="43">
      <t>ニュウリョク</t>
    </rPh>
    <phoneticPr fontId="2"/>
  </si>
  <si>
    <t>社内システム（原価・会計システムなど）に請求情報入力</t>
    <rPh sb="0" eb="2">
      <t>シャナイ</t>
    </rPh>
    <rPh sb="7" eb="9">
      <t>ゲンカ</t>
    </rPh>
    <rPh sb="10" eb="12">
      <t>カイケイ</t>
    </rPh>
    <rPh sb="20" eb="22">
      <t>セイキュウ</t>
    </rPh>
    <rPh sb="22" eb="24">
      <t>ジョウホウ</t>
    </rPh>
    <rPh sb="24" eb="26">
      <t>ニュウリョク</t>
    </rPh>
    <phoneticPr fontId="2"/>
  </si>
  <si>
    <t>■請求書の書類保管を調査する項目です。</t>
    <rPh sb="1" eb="3">
      <t>セイキュウ</t>
    </rPh>
    <rPh sb="3" eb="4">
      <t>ショ</t>
    </rPh>
    <rPh sb="5" eb="7">
      <t>ショルイ</t>
    </rPh>
    <rPh sb="7" eb="9">
      <t>ホカン</t>
    </rPh>
    <rPh sb="10" eb="12">
      <t>チョウサ</t>
    </rPh>
    <rPh sb="14" eb="16">
      <t>コウモク</t>
    </rPh>
    <phoneticPr fontId="2"/>
  </si>
  <si>
    <t>購買・注文</t>
    <rPh sb="0" eb="2">
      <t>コウバイ</t>
    </rPh>
    <rPh sb="3" eb="5">
      <t>チュウモン</t>
    </rPh>
    <phoneticPr fontId="2"/>
  </si>
  <si>
    <t>出来高・請求</t>
    <rPh sb="0" eb="3">
      <t>デキダカ</t>
    </rPh>
    <rPh sb="4" eb="6">
      <t>セイキュウ</t>
    </rPh>
    <phoneticPr fontId="2"/>
  </si>
  <si>
    <t>現状取引</t>
    <rPh sb="0" eb="2">
      <t>ゲンジョウ</t>
    </rPh>
    <rPh sb="2" eb="4">
      <t>トリヒキ</t>
    </rPh>
    <phoneticPr fontId="2"/>
  </si>
  <si>
    <t>年間費用</t>
    <rPh sb="0" eb="2">
      <t>ネンカン</t>
    </rPh>
    <rPh sb="2" eb="4">
      <t>ヒヨウ</t>
    </rPh>
    <phoneticPr fontId="2"/>
  </si>
  <si>
    <t>導入前年間費用</t>
    <rPh sb="0" eb="2">
      <t>ドウニュウ</t>
    </rPh>
    <rPh sb="2" eb="3">
      <t>マエ</t>
    </rPh>
    <rPh sb="3" eb="5">
      <t>ネンカン</t>
    </rPh>
    <rPh sb="5" eb="7">
      <t>ヒヨウ</t>
    </rPh>
    <phoneticPr fontId="2"/>
  </si>
  <si>
    <t>導入前累計費用</t>
    <rPh sb="0" eb="2">
      <t>ドウニュウ</t>
    </rPh>
    <rPh sb="2" eb="3">
      <t>マエ</t>
    </rPh>
    <rPh sb="3" eb="5">
      <t>ルイケイ</t>
    </rPh>
    <rPh sb="5" eb="7">
      <t>ヒヨウ</t>
    </rPh>
    <phoneticPr fontId="2"/>
  </si>
  <si>
    <t>累計費用</t>
    <rPh sb="0" eb="2">
      <t>ルイケイ</t>
    </rPh>
    <rPh sb="2" eb="4">
      <t>ヒヨウ</t>
    </rPh>
    <phoneticPr fontId="2"/>
  </si>
  <si>
    <t>■受注者から請け書を入手する手段の割合を調査する項目です。全体が100%となるよう入力してください。</t>
    <rPh sb="1" eb="4">
      <t>ジュチュウシャ</t>
    </rPh>
    <rPh sb="6" eb="7">
      <t>ウ</t>
    </rPh>
    <rPh sb="8" eb="9">
      <t>ショ</t>
    </rPh>
    <rPh sb="10" eb="12">
      <t>ニュウシュ</t>
    </rPh>
    <rPh sb="14" eb="16">
      <t>シュダン</t>
    </rPh>
    <rPh sb="17" eb="19">
      <t>ワリアイ</t>
    </rPh>
    <rPh sb="20" eb="22">
      <t>チョウサ</t>
    </rPh>
    <rPh sb="24" eb="26">
      <t>コウモク</t>
    </rPh>
    <rPh sb="29" eb="31">
      <t>ゼンタイ</t>
    </rPh>
    <rPh sb="41" eb="43">
      <t>ニュウリョク</t>
    </rPh>
    <phoneticPr fontId="2"/>
  </si>
  <si>
    <t>■原価管理システムなどに情報を入力するための、注文情報を事前に登録する時間を調査する項目です。
　登録は手動で入力する時間、システムによって自動で入力される時間などが含まれます。</t>
    <rPh sb="1" eb="3">
      <t>ゲンカ</t>
    </rPh>
    <rPh sb="3" eb="5">
      <t>カンリ</t>
    </rPh>
    <rPh sb="12" eb="14">
      <t>ジョウホウ</t>
    </rPh>
    <rPh sb="15" eb="17">
      <t>ニュウリョク</t>
    </rPh>
    <rPh sb="23" eb="25">
      <t>チュウモン</t>
    </rPh>
    <rPh sb="25" eb="27">
      <t>ジョウホウ</t>
    </rPh>
    <rPh sb="28" eb="30">
      <t>ジゼン</t>
    </rPh>
    <rPh sb="31" eb="33">
      <t>トウロク</t>
    </rPh>
    <rPh sb="35" eb="37">
      <t>ジカン</t>
    </rPh>
    <rPh sb="38" eb="40">
      <t>チョウサ</t>
    </rPh>
    <rPh sb="42" eb="44">
      <t>コウモク</t>
    </rPh>
    <rPh sb="49" eb="51">
      <t>トウロク</t>
    </rPh>
    <rPh sb="52" eb="54">
      <t>シュドウ</t>
    </rPh>
    <rPh sb="55" eb="57">
      <t>ニュウリョク</t>
    </rPh>
    <rPh sb="59" eb="61">
      <t>ジカン</t>
    </rPh>
    <rPh sb="70" eb="72">
      <t>ジドウ</t>
    </rPh>
    <rPh sb="73" eb="75">
      <t>ニュウリョク</t>
    </rPh>
    <rPh sb="78" eb="80">
      <t>ジカン</t>
    </rPh>
    <rPh sb="83" eb="84">
      <t>フク</t>
    </rPh>
    <phoneticPr fontId="2"/>
  </si>
  <si>
    <t>■受注者からの請求情報をシステムや表計算ソフトに登録する時間を調査する項目です。
　登録は手動で入力する時間、システムによって自動で入力される時間などが含まれます。</t>
    <rPh sb="1" eb="4">
      <t>ジュチュウシャ</t>
    </rPh>
    <rPh sb="7" eb="9">
      <t>セイキュウ</t>
    </rPh>
    <rPh sb="9" eb="11">
      <t>ジョウホウ</t>
    </rPh>
    <rPh sb="17" eb="20">
      <t>ヒョウケイサン</t>
    </rPh>
    <rPh sb="24" eb="26">
      <t>トウロク</t>
    </rPh>
    <rPh sb="28" eb="30">
      <t>ジカン</t>
    </rPh>
    <rPh sb="31" eb="33">
      <t>チョウサ</t>
    </rPh>
    <rPh sb="35" eb="37">
      <t>コウモク</t>
    </rPh>
    <rPh sb="42" eb="44">
      <t>トウロク</t>
    </rPh>
    <rPh sb="45" eb="47">
      <t>シュドウ</t>
    </rPh>
    <rPh sb="48" eb="50">
      <t>ニュウリョク</t>
    </rPh>
    <rPh sb="52" eb="54">
      <t>ジカン</t>
    </rPh>
    <rPh sb="63" eb="65">
      <t>ジドウ</t>
    </rPh>
    <rPh sb="66" eb="68">
      <t>ニュウリョク</t>
    </rPh>
    <rPh sb="71" eb="73">
      <t>ジカン</t>
    </rPh>
    <rPh sb="76" eb="77">
      <t>フク</t>
    </rPh>
    <phoneticPr fontId="2"/>
  </si>
  <si>
    <t>請求</t>
    <rPh sb="0" eb="2">
      <t>１１０４</t>
    </rPh>
    <phoneticPr fontId="2"/>
  </si>
  <si>
    <t>請求情報の入力時間</t>
    <rPh sb="0" eb="2">
      <t>セイキュウ</t>
    </rPh>
    <rPh sb="2" eb="4">
      <t>ジョウホウ</t>
    </rPh>
    <rPh sb="5" eb="7">
      <t>ニュウリョク</t>
    </rPh>
    <rPh sb="7" eb="9">
      <t>ジカン</t>
    </rPh>
    <phoneticPr fontId="2"/>
  </si>
  <si>
    <t>現業務・書類量調査シートから算出した、現在の取引業務に係わるコスト（ご参考）</t>
    <rPh sb="0" eb="1">
      <t>ゲン</t>
    </rPh>
    <rPh sb="1" eb="3">
      <t>ギョウム</t>
    </rPh>
    <rPh sb="4" eb="6">
      <t>ショルイ</t>
    </rPh>
    <rPh sb="6" eb="7">
      <t>リョウ</t>
    </rPh>
    <rPh sb="7" eb="9">
      <t>チョウサ</t>
    </rPh>
    <rPh sb="14" eb="16">
      <t>サンシュツ</t>
    </rPh>
    <rPh sb="19" eb="21">
      <t>ゲンザイ</t>
    </rPh>
    <rPh sb="22" eb="24">
      <t>トリヒキ</t>
    </rPh>
    <rPh sb="24" eb="26">
      <t>ギョウム</t>
    </rPh>
    <rPh sb="27" eb="28">
      <t>カカ</t>
    </rPh>
    <rPh sb="35" eb="37">
      <t>サンコウ</t>
    </rPh>
    <phoneticPr fontId="2"/>
  </si>
  <si>
    <t>企業名</t>
    <rPh sb="0" eb="2">
      <t>キギョウ</t>
    </rPh>
    <rPh sb="2" eb="3">
      <t>メイ</t>
    </rPh>
    <phoneticPr fontId="2"/>
  </si>
  <si>
    <t>年間外部委託保管量</t>
    <rPh sb="0" eb="2">
      <t>ネンカン</t>
    </rPh>
    <rPh sb="2" eb="4">
      <t>ガイブ</t>
    </rPh>
    <rPh sb="4" eb="6">
      <t>イタク</t>
    </rPh>
    <rPh sb="6" eb="8">
      <t>ホカン</t>
    </rPh>
    <rPh sb="8" eb="9">
      <t>リョウ</t>
    </rPh>
    <phoneticPr fontId="2"/>
  </si>
  <si>
    <t>業務別の年間総コスト</t>
    <rPh sb="0" eb="2">
      <t>ギョウム</t>
    </rPh>
    <rPh sb="2" eb="3">
      <t>ベツ</t>
    </rPh>
    <rPh sb="4" eb="6">
      <t>ネンカン</t>
    </rPh>
    <rPh sb="6" eb="7">
      <t>ソウ</t>
    </rPh>
    <phoneticPr fontId="2"/>
  </si>
  <si>
    <t>作業時間
（時間面）</t>
    <rPh sb="6" eb="8">
      <t>ジカン</t>
    </rPh>
    <rPh sb="8" eb="9">
      <t>メン</t>
    </rPh>
    <phoneticPr fontId="2"/>
  </si>
  <si>
    <t>経費等
（コスト面）</t>
    <rPh sb="2" eb="3">
      <t>ナド</t>
    </rPh>
    <phoneticPr fontId="2"/>
  </si>
  <si>
    <t>総コスト
作業時間＋経費</t>
    <rPh sb="0" eb="1">
      <t>ソウ</t>
    </rPh>
    <rPh sb="5" eb="7">
      <t>サギョウ</t>
    </rPh>
    <rPh sb="7" eb="9">
      <t>ジカン</t>
    </rPh>
    <rPh sb="10" eb="12">
      <t>ケイヒ</t>
    </rPh>
    <phoneticPr fontId="2"/>
  </si>
  <si>
    <t>原本保管</t>
    <rPh sb="0" eb="2">
      <t>ゲンポン</t>
    </rPh>
    <rPh sb="2" eb="4">
      <t>ホカン</t>
    </rPh>
    <phoneticPr fontId="2"/>
  </si>
  <si>
    <t>作業時間</t>
    <rPh sb="0" eb="2">
      <t>サギョウ</t>
    </rPh>
    <rPh sb="2" eb="4">
      <t>ジカン</t>
    </rPh>
    <phoneticPr fontId="2"/>
  </si>
  <si>
    <t>120cm箱を想定（A4/A3ファイル10冊収納可）</t>
    <rPh sb="5" eb="6">
      <t>ハコ</t>
    </rPh>
    <rPh sb="7" eb="9">
      <t>ソウテイ</t>
    </rPh>
    <rPh sb="21" eb="22">
      <t>サツ</t>
    </rPh>
    <rPh sb="22" eb="24">
      <t>シュウノウ</t>
    </rPh>
    <rPh sb="24" eb="25">
      <t>カ</t>
    </rPh>
    <phoneticPr fontId="2"/>
  </si>
  <si>
    <t>項目</t>
    <rPh sb="0" eb="2">
      <t>コウモク</t>
    </rPh>
    <phoneticPr fontId="2"/>
  </si>
  <si>
    <t>保管料金(1箱、1ヶ月)</t>
    <rPh sb="0" eb="2">
      <t>ホカン</t>
    </rPh>
    <rPh sb="2" eb="4">
      <t>リョウキン</t>
    </rPh>
    <rPh sb="6" eb="7">
      <t>ハコ</t>
    </rPh>
    <rPh sb="10" eb="11">
      <t>ゲツ</t>
    </rPh>
    <phoneticPr fontId="2"/>
  </si>
  <si>
    <t>荷受･払出･情報更新料(1回)</t>
    <rPh sb="0" eb="2">
      <t>ニウケ</t>
    </rPh>
    <rPh sb="3" eb="4">
      <t>ハラ</t>
    </rPh>
    <rPh sb="4" eb="5">
      <t>ダ</t>
    </rPh>
    <rPh sb="6" eb="8">
      <t>ジョウホウ</t>
    </rPh>
    <rPh sb="8" eb="10">
      <t>コウシン</t>
    </rPh>
    <rPh sb="10" eb="11">
      <t>リョウ</t>
    </rPh>
    <rPh sb="13" eb="14">
      <t>カイ</t>
    </rPh>
    <phoneticPr fontId="2"/>
  </si>
  <si>
    <t>配送料金</t>
    <rPh sb="0" eb="2">
      <t>ハイソウ</t>
    </rPh>
    <rPh sb="2" eb="4">
      <t>リョウキン</t>
    </rPh>
    <phoneticPr fontId="2"/>
  </si>
  <si>
    <t>相見積社数</t>
    <rPh sb="0" eb="1">
      <t>アイ</t>
    </rPh>
    <rPh sb="1" eb="3">
      <t>ミツモリ</t>
    </rPh>
    <rPh sb="3" eb="4">
      <t>シャ</t>
    </rPh>
    <rPh sb="4" eb="5">
      <t>スウ</t>
    </rPh>
    <phoneticPr fontId="2"/>
  </si>
  <si>
    <t>郵便物　簡易書留</t>
  </si>
  <si>
    <t>建設業電子商取引導入支援事業</t>
    <rPh sb="0" eb="3">
      <t>ケンセツギョウ</t>
    </rPh>
    <rPh sb="3" eb="5">
      <t>デンシ</t>
    </rPh>
    <rPh sb="5" eb="6">
      <t>ショウ</t>
    </rPh>
    <rPh sb="6" eb="8">
      <t>トリヒキ</t>
    </rPh>
    <rPh sb="8" eb="10">
      <t>ドウニュウ</t>
    </rPh>
    <rPh sb="10" eb="12">
      <t>シエン</t>
    </rPh>
    <rPh sb="12" eb="14">
      <t>ジギョウ</t>
    </rPh>
    <phoneticPr fontId="2"/>
  </si>
  <si>
    <t>（往復の平均料金／往復の平均時間：徒歩も含む）</t>
    <rPh sb="1" eb="3">
      <t>オウフク</t>
    </rPh>
    <rPh sb="6" eb="8">
      <t>リョウキン</t>
    </rPh>
    <rPh sb="9" eb="11">
      <t>オウフク</t>
    </rPh>
    <rPh sb="14" eb="16">
      <t>ジカン</t>
    </rPh>
    <rPh sb="17" eb="19">
      <t>トホ</t>
    </rPh>
    <rPh sb="20" eb="21">
      <t>フク</t>
    </rPh>
    <phoneticPr fontId="2"/>
  </si>
  <si>
    <t>（市内３分間　電話は１回あたり、FAXは5枚/分）</t>
    <rPh sb="1" eb="3">
      <t>シナイ</t>
    </rPh>
    <rPh sb="4" eb="6">
      <t>フンカン</t>
    </rPh>
    <rPh sb="7" eb="9">
      <t>デンワ</t>
    </rPh>
    <rPh sb="11" eb="12">
      <t>カイ</t>
    </rPh>
    <rPh sb="21" eb="22">
      <t>マイ</t>
    </rPh>
    <rPh sb="23" eb="24">
      <t>フン</t>
    </rPh>
    <phoneticPr fontId="2"/>
  </si>
  <si>
    <t>一般封筒</t>
    <rPh sb="0" eb="2">
      <t>イッパン</t>
    </rPh>
    <rPh sb="2" eb="4">
      <t>フウトウ</t>
    </rPh>
    <phoneticPr fontId="2"/>
  </si>
  <si>
    <t>簡易書留</t>
    <rPh sb="0" eb="2">
      <t>カンイ</t>
    </rPh>
    <rPh sb="2" eb="4">
      <t>カキトメ</t>
    </rPh>
    <phoneticPr fontId="2"/>
  </si>
  <si>
    <t>（１通当たりの料金：50gまでの料金）</t>
    <rPh sb="2" eb="3">
      <t>ツウ</t>
    </rPh>
    <rPh sb="3" eb="4">
      <t>ア</t>
    </rPh>
    <rPh sb="7" eb="9">
      <t>リョウキン</t>
    </rPh>
    <rPh sb="16" eb="18">
      <t>リョウキン</t>
    </rPh>
    <phoneticPr fontId="2"/>
  </si>
  <si>
    <t>スキャナ費</t>
    <rPh sb="4" eb="5">
      <t>ヒ</t>
    </rPh>
    <phoneticPr fontId="2"/>
  </si>
  <si>
    <t>(複写費より想定）</t>
    <rPh sb="1" eb="3">
      <t>フクシャ</t>
    </rPh>
    <rPh sb="3" eb="4">
      <t>ヒ</t>
    </rPh>
    <rPh sb="6" eb="8">
      <t>ソウテイ</t>
    </rPh>
    <phoneticPr fontId="2"/>
  </si>
  <si>
    <t>カラー</t>
    <phoneticPr fontId="2"/>
  </si>
  <si>
    <t>(複写費より想定）</t>
    <phoneticPr fontId="2"/>
  </si>
  <si>
    <t>委託保管</t>
    <rPh sb="0" eb="2">
      <t>イタク</t>
    </rPh>
    <rPh sb="2" eb="4">
      <t>ホカン</t>
    </rPh>
    <phoneticPr fontId="2"/>
  </si>
  <si>
    <t>保管費</t>
    <rPh sb="0" eb="2">
      <t>ホカン</t>
    </rPh>
    <rPh sb="2" eb="3">
      <t>ヒ</t>
    </rPh>
    <phoneticPr fontId="2"/>
  </si>
  <si>
    <t>(１段ボールあたりの月額費、保管場所までの輸送費）</t>
    <rPh sb="2" eb="3">
      <t>ダン</t>
    </rPh>
    <rPh sb="10" eb="12">
      <t>ゲツガク</t>
    </rPh>
    <rPh sb="12" eb="13">
      <t>ヒ</t>
    </rPh>
    <rPh sb="14" eb="16">
      <t>ホカン</t>
    </rPh>
    <rPh sb="16" eb="18">
      <t>バショ</t>
    </rPh>
    <rPh sb="21" eb="24">
      <t>ユソウヒ</t>
    </rPh>
    <phoneticPr fontId="2"/>
  </si>
  <si>
    <t>以下、基準選定参考情報：</t>
    <rPh sb="0" eb="2">
      <t>イカ</t>
    </rPh>
    <rPh sb="3" eb="5">
      <t>キジュン</t>
    </rPh>
    <rPh sb="5" eb="7">
      <t>センテイ</t>
    </rPh>
    <rPh sb="7" eb="9">
      <t>サンコウ</t>
    </rPh>
    <rPh sb="9" eb="11">
      <t>ジョウホウ</t>
    </rPh>
    <phoneticPr fontId="2"/>
  </si>
  <si>
    <t>第一種郵便物（封書）</t>
    <rPh sb="0" eb="1">
      <t>ダイ</t>
    </rPh>
    <rPh sb="1" eb="3">
      <t>イッシュ</t>
    </rPh>
    <rPh sb="3" eb="6">
      <t>ユウビンブツ</t>
    </rPh>
    <rPh sb="7" eb="9">
      <t>フウショ</t>
    </rPh>
    <phoneticPr fontId="2"/>
  </si>
  <si>
    <t>ゆうメール　簡易書留</t>
    <phoneticPr fontId="2"/>
  </si>
  <si>
    <t>形状　厚さ</t>
    <rPh sb="0" eb="2">
      <t>ケイジョウ</t>
    </rPh>
    <rPh sb="3" eb="4">
      <t>アツ</t>
    </rPh>
    <phoneticPr fontId="2"/>
  </si>
  <si>
    <t>A4(角2封筒以内) 厚さ=1cmまで</t>
    <phoneticPr fontId="2"/>
  </si>
  <si>
    <t>A4(角2封筒以内) 厚さ=2cmまで</t>
    <phoneticPr fontId="2"/>
  </si>
  <si>
    <t>300g以内</t>
    <phoneticPr fontId="2"/>
  </si>
  <si>
    <t>B4 厚さ=1cmまで</t>
    <phoneticPr fontId="2"/>
  </si>
  <si>
    <t>600g以内</t>
    <phoneticPr fontId="2"/>
  </si>
  <si>
    <t>B4 厚さ=2cmまで</t>
    <phoneticPr fontId="2"/>
  </si>
  <si>
    <t>1kg以内</t>
    <phoneticPr fontId="2"/>
  </si>
  <si>
    <t>※取り扱いは、3辺合計70cm以内・最長辺40cm以内・厚さ2cm以内・重量１kg以内であること</t>
    <rPh sb="1" eb="2">
      <t>ト</t>
    </rPh>
    <rPh sb="3" eb="4">
      <t>アツカ</t>
    </rPh>
    <rPh sb="8" eb="9">
      <t>ペン</t>
    </rPh>
    <rPh sb="9" eb="11">
      <t>ゴウケイ</t>
    </rPh>
    <rPh sb="15" eb="17">
      <t>イナイ</t>
    </rPh>
    <rPh sb="18" eb="20">
      <t>サイチョウ</t>
    </rPh>
    <rPh sb="20" eb="21">
      <t>ヘン</t>
    </rPh>
    <rPh sb="25" eb="27">
      <t>イナイ</t>
    </rPh>
    <rPh sb="28" eb="29">
      <t>アツ</t>
    </rPh>
    <rPh sb="33" eb="35">
      <t>イナイ</t>
    </rPh>
    <rPh sb="36" eb="38">
      <t>ジュウリョウ</t>
    </rPh>
    <rPh sb="41" eb="43">
      <t>イナイ</t>
    </rPh>
    <phoneticPr fontId="2"/>
  </si>
  <si>
    <t>外部委託保管　一例（紙媒体保管）</t>
    <rPh sb="0" eb="2">
      <t>ガイブ</t>
    </rPh>
    <rPh sb="2" eb="4">
      <t>イタク</t>
    </rPh>
    <rPh sb="4" eb="6">
      <t>ホカン</t>
    </rPh>
    <rPh sb="7" eb="9">
      <t>イチレイ</t>
    </rPh>
    <rPh sb="10" eb="11">
      <t>カミ</t>
    </rPh>
    <rPh sb="11" eb="13">
      <t>バイタイ</t>
    </rPh>
    <rPh sb="13" eb="15">
      <t>ホカン</t>
    </rPh>
    <phoneticPr fontId="2"/>
  </si>
  <si>
    <t>単位</t>
    <rPh sb="0" eb="2">
      <t>タンイ</t>
    </rPh>
    <phoneticPr fontId="2"/>
  </si>
  <si>
    <t>分</t>
    <rPh sb="0" eb="1">
      <t>フン</t>
    </rPh>
    <phoneticPr fontId="2"/>
  </si>
  <si>
    <t>取引先への送付手段</t>
    <rPh sb="0" eb="2">
      <t>トリヒキ</t>
    </rPh>
    <rPh sb="2" eb="3">
      <t>サキ</t>
    </rPh>
    <rPh sb="5" eb="7">
      <t>ソウフ</t>
    </rPh>
    <rPh sb="7" eb="9">
      <t>シュダン</t>
    </rPh>
    <phoneticPr fontId="2"/>
  </si>
  <si>
    <t>円</t>
    <rPh sb="0" eb="1">
      <t>エン</t>
    </rPh>
    <phoneticPr fontId="2"/>
  </si>
  <si>
    <t>社</t>
    <rPh sb="0" eb="1">
      <t>シャ</t>
    </rPh>
    <phoneticPr fontId="2"/>
  </si>
  <si>
    <t>契約</t>
    <rPh sb="0" eb="2">
      <t>ケイヤク</t>
    </rPh>
    <phoneticPr fontId="2"/>
  </si>
  <si>
    <t>その他</t>
    <rPh sb="2" eb="3">
      <t>タ</t>
    </rPh>
    <phoneticPr fontId="2"/>
  </si>
  <si>
    <t>電子メール</t>
    <rPh sb="0" eb="2">
      <t>デンシ</t>
    </rPh>
    <phoneticPr fontId="2"/>
  </si>
  <si>
    <t>作業単金</t>
    <rPh sb="0" eb="2">
      <t>サギョウ</t>
    </rPh>
    <rPh sb="2" eb="3">
      <t>タン</t>
    </rPh>
    <rPh sb="3" eb="4">
      <t>キン</t>
    </rPh>
    <phoneticPr fontId="2"/>
  </si>
  <si>
    <t>円／時</t>
    <rPh sb="0" eb="1">
      <t>エン</t>
    </rPh>
    <rPh sb="2" eb="3">
      <t>ジ</t>
    </rPh>
    <phoneticPr fontId="2"/>
  </si>
  <si>
    <t>円／分</t>
    <rPh sb="0" eb="1">
      <t>エン</t>
    </rPh>
    <rPh sb="2" eb="3">
      <t>フン</t>
    </rPh>
    <phoneticPr fontId="2"/>
  </si>
  <si>
    <t>（人件費の時間単価：各社一律5,000円/H）</t>
    <rPh sb="1" eb="4">
      <t>ジンケンヒ</t>
    </rPh>
    <rPh sb="5" eb="7">
      <t>ジカン</t>
    </rPh>
    <rPh sb="7" eb="9">
      <t>タンカ</t>
    </rPh>
    <rPh sb="10" eb="12">
      <t>カクシャ</t>
    </rPh>
    <rPh sb="12" eb="14">
      <t>イチリツ</t>
    </rPh>
    <rPh sb="19" eb="20">
      <t>エン</t>
    </rPh>
    <phoneticPr fontId="2"/>
  </si>
  <si>
    <t>交通費</t>
    <rPh sb="0" eb="3">
      <t>コウツウヒ</t>
    </rPh>
    <phoneticPr fontId="2"/>
  </si>
  <si>
    <t>移動時間</t>
    <rPh sb="0" eb="2">
      <t>イドウ</t>
    </rPh>
    <rPh sb="2" eb="4">
      <t>ジカン</t>
    </rPh>
    <phoneticPr fontId="2"/>
  </si>
  <si>
    <t>通信費</t>
    <rPh sb="0" eb="3">
      <t>ツウシンヒ</t>
    </rPh>
    <phoneticPr fontId="2"/>
  </si>
  <si>
    <t>ＦＡＸ代</t>
    <rPh sb="3" eb="4">
      <t>ダイ</t>
    </rPh>
    <phoneticPr fontId="2"/>
  </si>
  <si>
    <t>電話代</t>
    <rPh sb="0" eb="2">
      <t>デンワ</t>
    </rPh>
    <rPh sb="2" eb="3">
      <t>ダイ</t>
    </rPh>
    <phoneticPr fontId="2"/>
  </si>
  <si>
    <t>郵送費</t>
    <rPh sb="0" eb="3">
      <t>ユウソウヒ</t>
    </rPh>
    <phoneticPr fontId="2"/>
  </si>
  <si>
    <t>複写費</t>
    <rPh sb="0" eb="2">
      <t>フクシャ</t>
    </rPh>
    <rPh sb="2" eb="3">
      <t>ヒ</t>
    </rPh>
    <phoneticPr fontId="2"/>
  </si>
  <si>
    <t>白黒</t>
    <rPh sb="0" eb="2">
      <t>シロクロ</t>
    </rPh>
    <phoneticPr fontId="2"/>
  </si>
  <si>
    <t>(１枚当たりの料金：用紙サイズ(A4,B4,A3)に関係なし）</t>
    <rPh sb="2" eb="3">
      <t>マイ</t>
    </rPh>
    <rPh sb="3" eb="4">
      <t>ア</t>
    </rPh>
    <rPh sb="7" eb="9">
      <t>リョウキン</t>
    </rPh>
    <rPh sb="10" eb="12">
      <t>ヨウシ</t>
    </rPh>
    <rPh sb="26" eb="28">
      <t>カンケイ</t>
    </rPh>
    <phoneticPr fontId="2"/>
  </si>
  <si>
    <t>(24円/枚：1～1000、22.9円/枚：1001～3000、19.4円/枚：3001～）</t>
    <rPh sb="3" eb="4">
      <t>エン</t>
    </rPh>
    <rPh sb="5" eb="6">
      <t>マイ</t>
    </rPh>
    <rPh sb="18" eb="19">
      <t>エン</t>
    </rPh>
    <rPh sb="20" eb="21">
      <t>マイ</t>
    </rPh>
    <rPh sb="36" eb="37">
      <t>エン</t>
    </rPh>
    <rPh sb="38" eb="39">
      <t>マイ</t>
    </rPh>
    <phoneticPr fontId="2"/>
  </si>
  <si>
    <t>【国内郵便料金表】</t>
    <rPh sb="1" eb="3">
      <t>コクナイ</t>
    </rPh>
    <rPh sb="3" eb="5">
      <t>ユウビン</t>
    </rPh>
    <rPh sb="5" eb="7">
      <t>リョウキン</t>
    </rPh>
    <rPh sb="7" eb="8">
      <t>ヒョウ</t>
    </rPh>
    <phoneticPr fontId="2"/>
  </si>
  <si>
    <t>種類</t>
    <rPh sb="0" eb="2">
      <t>シュルイ</t>
    </rPh>
    <phoneticPr fontId="2"/>
  </si>
  <si>
    <t>内容</t>
    <rPh sb="0" eb="2">
      <t>ナイヨウ</t>
    </rPh>
    <phoneticPr fontId="2"/>
  </si>
  <si>
    <t>重量</t>
    <rPh sb="0" eb="2">
      <t>ジュウリョウ</t>
    </rPh>
    <phoneticPr fontId="2"/>
  </si>
  <si>
    <t>料金</t>
    <rPh sb="0" eb="2">
      <t>リョウキン</t>
    </rPh>
    <phoneticPr fontId="2"/>
  </si>
  <si>
    <t>定形郵便物</t>
    <rPh sb="0" eb="2">
      <t>テイケイ</t>
    </rPh>
    <rPh sb="2" eb="5">
      <t>ユウビンブツ</t>
    </rPh>
    <phoneticPr fontId="2"/>
  </si>
  <si>
    <t>定形外郵便物</t>
    <rPh sb="0" eb="2">
      <t>テイケイ</t>
    </rPh>
    <rPh sb="2" eb="3">
      <t>ガイ</t>
    </rPh>
    <rPh sb="3" eb="5">
      <t>ユウビン</t>
    </rPh>
    <rPh sb="5" eb="6">
      <t>ブツ</t>
    </rPh>
    <phoneticPr fontId="2"/>
  </si>
  <si>
    <t>※上記料金は全国一律の料金</t>
    <rPh sb="1" eb="3">
      <t>ジョウキ</t>
    </rPh>
    <rPh sb="3" eb="5">
      <t>リョウキン</t>
    </rPh>
    <rPh sb="6" eb="7">
      <t>ゼン</t>
    </rPh>
    <rPh sb="7" eb="8">
      <t>コク</t>
    </rPh>
    <rPh sb="8" eb="10">
      <t>イチリツ</t>
    </rPh>
    <rPh sb="11" eb="13">
      <t>リョウキン</t>
    </rPh>
    <phoneticPr fontId="2"/>
  </si>
  <si>
    <t>【宅配メール料金表】</t>
    <rPh sb="1" eb="3">
      <t>タクハイ</t>
    </rPh>
    <rPh sb="6" eb="8">
      <t>リョウキン</t>
    </rPh>
    <rPh sb="8" eb="9">
      <t>ヒョウ</t>
    </rPh>
    <phoneticPr fontId="2"/>
  </si>
  <si>
    <t>25gまで</t>
    <phoneticPr fontId="2"/>
  </si>
  <si>
    <t>50gまで</t>
    <phoneticPr fontId="2"/>
  </si>
  <si>
    <r>
      <t>クロネコ</t>
    </r>
    <r>
      <rPr>
        <i/>
        <sz val="11"/>
        <rFont val="ＭＳ Ｐゴシック"/>
        <family val="3"/>
        <charset val="128"/>
      </rPr>
      <t>メール</t>
    </r>
    <r>
      <rPr>
        <sz val="11"/>
        <rFont val="ＭＳ Ｐゴシック"/>
        <family val="3"/>
        <charset val="128"/>
      </rPr>
      <t>便
佐川飛脚メール便など</t>
    </r>
    <rPh sb="7" eb="8">
      <t>ビン</t>
    </rPh>
    <rPh sb="9" eb="11">
      <t>サガワ</t>
    </rPh>
    <rPh sb="11" eb="13">
      <t>ヒキャク</t>
    </rPh>
    <rPh sb="16" eb="17">
      <t>ビン</t>
    </rPh>
    <phoneticPr fontId="2"/>
  </si>
  <si>
    <t>回/年</t>
    <rPh sb="0" eb="1">
      <t>カイ</t>
    </rPh>
    <rPh sb="2" eb="3">
      <t>ネン</t>
    </rPh>
    <phoneticPr fontId="2"/>
  </si>
  <si>
    <t>出来高折衝</t>
    <rPh sb="0" eb="3">
      <t>デキダカ</t>
    </rPh>
    <rPh sb="3" eb="5">
      <t>セッショウ</t>
    </rPh>
    <phoneticPr fontId="2"/>
  </si>
  <si>
    <t>見積依頼件数</t>
    <rPh sb="0" eb="2">
      <t>ミツモリ</t>
    </rPh>
    <rPh sb="2" eb="4">
      <t>イライ</t>
    </rPh>
    <rPh sb="4" eb="6">
      <t>ケンスウ</t>
    </rPh>
    <phoneticPr fontId="2"/>
  </si>
  <si>
    <t>見積回答件数</t>
    <rPh sb="0" eb="2">
      <t>ミツモリ</t>
    </rPh>
    <rPh sb="2" eb="4">
      <t>カイトウ</t>
    </rPh>
    <phoneticPr fontId="2"/>
  </si>
  <si>
    <t>確定注文件数</t>
    <rPh sb="0" eb="2">
      <t>カクテイ</t>
    </rPh>
    <rPh sb="2" eb="4">
      <t>チュウモン</t>
    </rPh>
    <phoneticPr fontId="2"/>
  </si>
  <si>
    <t>注文請書件数</t>
    <rPh sb="0" eb="2">
      <t>チュウモン</t>
    </rPh>
    <rPh sb="2" eb="3">
      <t>ウ</t>
    </rPh>
    <rPh sb="3" eb="4">
      <t>ショ</t>
    </rPh>
    <phoneticPr fontId="2"/>
  </si>
  <si>
    <t>郵送（一般封筒）</t>
    <rPh sb="0" eb="2">
      <t>ユウソウ</t>
    </rPh>
    <rPh sb="3" eb="5">
      <t>イッパン</t>
    </rPh>
    <rPh sb="5" eb="7">
      <t>フウトウ</t>
    </rPh>
    <phoneticPr fontId="2"/>
  </si>
  <si>
    <t>郵便（書留等）</t>
    <rPh sb="0" eb="2">
      <t>ユウビン</t>
    </rPh>
    <rPh sb="3" eb="5">
      <t>カキトメ</t>
    </rPh>
    <rPh sb="5" eb="6">
      <t>ナド</t>
    </rPh>
    <phoneticPr fontId="2"/>
  </si>
  <si>
    <t>要素</t>
    <rPh sb="0" eb="2">
      <t>ヨウソ</t>
    </rPh>
    <phoneticPr fontId="2"/>
  </si>
  <si>
    <t>【印刷・捺印・コピー・封書・配送】</t>
    <rPh sb="1" eb="3">
      <t>インサツ</t>
    </rPh>
    <rPh sb="11" eb="13">
      <t>フウショ</t>
    </rPh>
    <rPh sb="14" eb="16">
      <t>ハイソウ</t>
    </rPh>
    <phoneticPr fontId="2"/>
  </si>
  <si>
    <t>コスト算出の為の基礎情報一覧</t>
    <phoneticPr fontId="2"/>
  </si>
  <si>
    <t>カラー</t>
    <phoneticPr fontId="2"/>
  </si>
  <si>
    <t>連携・EDI・原本サーバ</t>
    <phoneticPr fontId="2"/>
  </si>
  <si>
    <t>連携サーバ</t>
    <phoneticPr fontId="2"/>
  </si>
  <si>
    <t>なし</t>
    <phoneticPr fontId="2"/>
  </si>
  <si>
    <t>【印刷・捺印・コピー・交通費・移動時間】</t>
    <rPh sb="11" eb="14">
      <t>コウツウヒ</t>
    </rPh>
    <rPh sb="15" eb="17">
      <t>イドウ</t>
    </rPh>
    <rPh sb="17" eb="19">
      <t>ジカン</t>
    </rPh>
    <phoneticPr fontId="2"/>
  </si>
  <si>
    <t>※ココに受け渡し方法を記入してください。</t>
    <rPh sb="4" eb="5">
      <t>ウ</t>
    </rPh>
    <rPh sb="6" eb="7">
      <t>ワタ</t>
    </rPh>
    <rPh sb="8" eb="10">
      <t>ホウホウ</t>
    </rPh>
    <rPh sb="11" eb="13">
      <t>キニュウ</t>
    </rPh>
    <phoneticPr fontId="2"/>
  </si>
  <si>
    <t>←合計が100%になるようにしてください。</t>
    <rPh sb="1" eb="3">
      <t>ゴウケイ</t>
    </rPh>
    <phoneticPr fontId="2"/>
  </si>
  <si>
    <t>社/1見積</t>
    <rPh sb="0" eb="1">
      <t>シャ</t>
    </rPh>
    <rPh sb="3" eb="5">
      <t>ミツモリ</t>
    </rPh>
    <phoneticPr fontId="2"/>
  </si>
  <si>
    <t>件/年</t>
    <rPh sb="2" eb="3">
      <t>ネン</t>
    </rPh>
    <phoneticPr fontId="2"/>
  </si>
  <si>
    <t>見積回答書は保管されていますか、また保管場所は何処ですか</t>
    <rPh sb="0" eb="2">
      <t>ミツモリ</t>
    </rPh>
    <rPh sb="2" eb="5">
      <t>カイトウショ</t>
    </rPh>
    <rPh sb="6" eb="8">
      <t>ホカン</t>
    </rPh>
    <rPh sb="18" eb="20">
      <t>ホカン</t>
    </rPh>
    <rPh sb="20" eb="22">
      <t>バショ</t>
    </rPh>
    <rPh sb="23" eb="25">
      <t>ドコ</t>
    </rPh>
    <phoneticPr fontId="2"/>
  </si>
  <si>
    <t>紙面のまま使用</t>
    <rPh sb="0" eb="2">
      <t>シメン</t>
    </rPh>
    <rPh sb="5" eb="7">
      <t>シヨウ</t>
    </rPh>
    <phoneticPr fontId="2"/>
  </si>
  <si>
    <t>注文書は保管されていますか、また保管場所は何処ですか</t>
    <rPh sb="0" eb="3">
      <t>チュウモンショ</t>
    </rPh>
    <rPh sb="4" eb="6">
      <t>ホカン</t>
    </rPh>
    <rPh sb="16" eb="18">
      <t>ホカン</t>
    </rPh>
    <rPh sb="18" eb="20">
      <t>バショ</t>
    </rPh>
    <rPh sb="21" eb="23">
      <t>ドコ</t>
    </rPh>
    <phoneticPr fontId="2"/>
  </si>
  <si>
    <t>平均</t>
    <rPh sb="0" eb="2">
      <t>ヘイキン</t>
    </rPh>
    <phoneticPr fontId="2"/>
  </si>
  <si>
    <t>その他</t>
    <phoneticPr fontId="2"/>
  </si>
  <si>
    <t>件/年</t>
    <rPh sb="0" eb="1">
      <t>ケン</t>
    </rPh>
    <rPh sb="2" eb="3">
      <t>ネン</t>
    </rPh>
    <phoneticPr fontId="2"/>
  </si>
  <si>
    <t>黄色いセルは自動計算されますが、御社の実運用状況に近い値を上書きしていただいてもかまいません。</t>
    <rPh sb="0" eb="2">
      <t>キイロ</t>
    </rPh>
    <rPh sb="6" eb="8">
      <t>ジドウ</t>
    </rPh>
    <rPh sb="8" eb="10">
      <t>ケイサン</t>
    </rPh>
    <rPh sb="16" eb="18">
      <t>オンシャ</t>
    </rPh>
    <rPh sb="19" eb="20">
      <t>ジツ</t>
    </rPh>
    <rPh sb="20" eb="22">
      <t>ウンヨウ</t>
    </rPh>
    <rPh sb="22" eb="24">
      <t>ジョウキョウ</t>
    </rPh>
    <rPh sb="25" eb="26">
      <t>チカ</t>
    </rPh>
    <rPh sb="27" eb="28">
      <t>アタイ</t>
    </rPh>
    <rPh sb="29" eb="31">
      <t>ウワガ</t>
    </rPh>
    <phoneticPr fontId="2"/>
  </si>
  <si>
    <t>購買見積</t>
    <rPh sb="0" eb="2">
      <t>コウバイ</t>
    </rPh>
    <rPh sb="2" eb="4">
      <t>ミツモ</t>
    </rPh>
    <phoneticPr fontId="2"/>
  </si>
  <si>
    <t>御社の現在の状況に近い値を二重線の枠内に記載してください。</t>
    <rPh sb="0" eb="2">
      <t>オンシャ</t>
    </rPh>
    <rPh sb="3" eb="5">
      <t>ゲンザイ</t>
    </rPh>
    <rPh sb="6" eb="8">
      <t>ジョウキョウ</t>
    </rPh>
    <rPh sb="9" eb="10">
      <t>チカ</t>
    </rPh>
    <rPh sb="11" eb="12">
      <t>アタイ</t>
    </rPh>
    <rPh sb="13" eb="16">
      <t>ニジュウセン</t>
    </rPh>
    <rPh sb="17" eb="19">
      <t>ワクナイ</t>
    </rPh>
    <rPh sb="20" eb="22">
      <t>キサイ</t>
    </rPh>
    <phoneticPr fontId="2"/>
  </si>
  <si>
    <t>折衝手段はどのように行っていますか</t>
    <rPh sb="0" eb="2">
      <t>セッショウ</t>
    </rPh>
    <rPh sb="2" eb="4">
      <t>シュダン</t>
    </rPh>
    <rPh sb="10" eb="11">
      <t>オコナ</t>
    </rPh>
    <phoneticPr fontId="2"/>
  </si>
  <si>
    <t>1回の折衝に係る時間は</t>
    <rPh sb="1" eb="2">
      <t>カイ</t>
    </rPh>
    <rPh sb="3" eb="5">
      <t>セッショウ</t>
    </rPh>
    <rPh sb="6" eb="7">
      <t>カカ</t>
    </rPh>
    <rPh sb="8" eb="10">
      <t>ジカン</t>
    </rPh>
    <phoneticPr fontId="2"/>
  </si>
  <si>
    <t>分/1回</t>
    <rPh sb="0" eb="1">
      <t>フン</t>
    </rPh>
    <rPh sb="3" eb="4">
      <t>カイ</t>
    </rPh>
    <phoneticPr fontId="2"/>
  </si>
  <si>
    <t>契約外</t>
    <rPh sb="0" eb="2">
      <t>ケイヤク</t>
    </rPh>
    <rPh sb="2" eb="3">
      <t>ガイ</t>
    </rPh>
    <phoneticPr fontId="2"/>
  </si>
  <si>
    <t>箱/年</t>
    <rPh sb="0" eb="1">
      <t>ハコ</t>
    </rPh>
    <rPh sb="2" eb="3">
      <t>ネン</t>
    </rPh>
    <phoneticPr fontId="2"/>
  </si>
  <si>
    <t>合計</t>
    <rPh sb="0" eb="2">
      <t>ゴウケイ</t>
    </rPh>
    <phoneticPr fontId="2"/>
  </si>
  <si>
    <t>紙・FAXなどの紙媒体</t>
    <rPh sb="0" eb="1">
      <t>カミ</t>
    </rPh>
    <rPh sb="8" eb="9">
      <t>カミ</t>
    </rPh>
    <rPh sb="9" eb="11">
      <t>バイタイ</t>
    </rPh>
    <phoneticPr fontId="2"/>
  </si>
  <si>
    <t>2年後</t>
    <rPh sb="1" eb="3">
      <t>ネンゴ</t>
    </rPh>
    <phoneticPr fontId="2"/>
  </si>
  <si>
    <t>3年後</t>
    <rPh sb="1" eb="3">
      <t>ネンゴ</t>
    </rPh>
    <phoneticPr fontId="2"/>
  </si>
  <si>
    <t>4年後</t>
    <rPh sb="1" eb="3">
      <t>ネンゴ</t>
    </rPh>
    <phoneticPr fontId="2"/>
  </si>
  <si>
    <t>5年後</t>
    <rPh sb="1" eb="3">
      <t>ネンゴ</t>
    </rPh>
    <phoneticPr fontId="2"/>
  </si>
  <si>
    <t>6年後</t>
    <rPh sb="1" eb="3">
      <t>ネンゴ</t>
    </rPh>
    <phoneticPr fontId="2"/>
  </si>
  <si>
    <t>7年後</t>
    <rPh sb="1" eb="3">
      <t>ネンゴ</t>
    </rPh>
    <phoneticPr fontId="2"/>
  </si>
  <si>
    <t>8年後</t>
    <rPh sb="1" eb="3">
      <t>ネンゴ</t>
    </rPh>
    <phoneticPr fontId="2"/>
  </si>
  <si>
    <t>9年後</t>
    <rPh sb="1" eb="3">
      <t>ネンゴ</t>
    </rPh>
    <phoneticPr fontId="2"/>
  </si>
  <si>
    <t>10年後</t>
    <rPh sb="2" eb="4">
      <t>ネンゴ</t>
    </rPh>
    <phoneticPr fontId="2"/>
  </si>
  <si>
    <t>月額費</t>
    <rPh sb="0" eb="2">
      <t>ゲツガク</t>
    </rPh>
    <rPh sb="2" eb="3">
      <t>ヒ</t>
    </rPh>
    <phoneticPr fontId="2"/>
  </si>
  <si>
    <t>月額費合計</t>
    <rPh sb="0" eb="2">
      <t>ゲツガク</t>
    </rPh>
    <rPh sb="2" eb="3">
      <t>ヒ</t>
    </rPh>
    <rPh sb="3" eb="5">
      <t>ゴウケイ</t>
    </rPh>
    <phoneticPr fontId="2"/>
  </si>
  <si>
    <t>部門承認処理（所属長の確認、承認）
※2分を想定</t>
    <rPh sb="0" eb="2">
      <t>ブモン</t>
    </rPh>
    <rPh sb="2" eb="4">
      <t>ショウニン</t>
    </rPh>
    <rPh sb="4" eb="6">
      <t>ショリ</t>
    </rPh>
    <rPh sb="7" eb="10">
      <t>ショゾクチョウ</t>
    </rPh>
    <rPh sb="11" eb="13">
      <t>カクニン</t>
    </rPh>
    <rPh sb="14" eb="16">
      <t>ショウニン</t>
    </rPh>
    <rPh sb="20" eb="21">
      <t>フン</t>
    </rPh>
    <rPh sb="22" eb="24">
      <t>ソウテイ</t>
    </rPh>
    <phoneticPr fontId="2"/>
  </si>
  <si>
    <t>見積回答書保管
※2分を想定</t>
    <rPh sb="0" eb="2">
      <t>ミツモリ</t>
    </rPh>
    <rPh sb="2" eb="4">
      <t>カイトウ</t>
    </rPh>
    <rPh sb="4" eb="5">
      <t>ショ</t>
    </rPh>
    <rPh sb="5" eb="7">
      <t>ホカン</t>
    </rPh>
    <rPh sb="10" eb="11">
      <t>フン</t>
    </rPh>
    <rPh sb="12" eb="14">
      <t>ソウテイ</t>
    </rPh>
    <phoneticPr fontId="2"/>
  </si>
  <si>
    <t>社印押印
※0.5分を想定</t>
    <rPh sb="0" eb="2">
      <t>シャイン</t>
    </rPh>
    <rPh sb="2" eb="4">
      <t>オウイン</t>
    </rPh>
    <rPh sb="9" eb="10">
      <t>フン</t>
    </rPh>
    <rPh sb="11" eb="13">
      <t>ソウテイ</t>
    </rPh>
    <phoneticPr fontId="2"/>
  </si>
  <si>
    <t>折りこみ・封書・宛名書き
※1.5分を想定</t>
    <rPh sb="0" eb="1">
      <t>オ</t>
    </rPh>
    <rPh sb="5" eb="7">
      <t>フウショ</t>
    </rPh>
    <rPh sb="8" eb="11">
      <t>アテナガ</t>
    </rPh>
    <rPh sb="17" eb="18">
      <t>フン</t>
    </rPh>
    <rPh sb="19" eb="21">
      <t>ソウテイ</t>
    </rPh>
    <phoneticPr fontId="2"/>
  </si>
  <si>
    <t>承認処理
※0分を想定</t>
    <rPh sb="0" eb="2">
      <t>ショウニン</t>
    </rPh>
    <rPh sb="2" eb="4">
      <t>ショリ</t>
    </rPh>
    <rPh sb="7" eb="8">
      <t>フン</t>
    </rPh>
    <rPh sb="9" eb="11">
      <t>ソウテイ</t>
    </rPh>
    <phoneticPr fontId="2"/>
  </si>
  <si>
    <t>封書・宛名書き（作業所へ送付）
※0分を想定</t>
    <rPh sb="0" eb="2">
      <t>フウショ</t>
    </rPh>
    <rPh sb="3" eb="6">
      <t>アテナガ</t>
    </rPh>
    <rPh sb="8" eb="10">
      <t>サギョウ</t>
    </rPh>
    <rPh sb="10" eb="11">
      <t>ショ</t>
    </rPh>
    <rPh sb="12" eb="14">
      <t>ソウフ</t>
    </rPh>
    <rPh sb="18" eb="19">
      <t>フン</t>
    </rPh>
    <rPh sb="20" eb="22">
      <t>ソウテイ</t>
    </rPh>
    <phoneticPr fontId="2"/>
  </si>
  <si>
    <t>注文書保管（作業所）
※1分を想定</t>
    <rPh sb="0" eb="3">
      <t>チュウモンショ</t>
    </rPh>
    <rPh sb="3" eb="5">
      <t>ホカン</t>
    </rPh>
    <rPh sb="6" eb="8">
      <t>サギョウ</t>
    </rPh>
    <rPh sb="8" eb="9">
      <t>ショ</t>
    </rPh>
    <rPh sb="13" eb="14">
      <t>フン</t>
    </rPh>
    <rPh sb="15" eb="17">
      <t>ソウテイ</t>
    </rPh>
    <phoneticPr fontId="2"/>
  </si>
  <si>
    <t>注文書保管（本社・支社）
※0分を想定</t>
    <rPh sb="0" eb="3">
      <t>チュウモンショ</t>
    </rPh>
    <rPh sb="3" eb="5">
      <t>ホカン</t>
    </rPh>
    <rPh sb="6" eb="8">
      <t>ホンシャ</t>
    </rPh>
    <rPh sb="9" eb="11">
      <t>シシャ</t>
    </rPh>
    <rPh sb="15" eb="16">
      <t>フン</t>
    </rPh>
    <rPh sb="17" eb="19">
      <t>ソウテイ</t>
    </rPh>
    <phoneticPr fontId="2"/>
  </si>
  <si>
    <t>部門承認処理
※2分を想定</t>
    <rPh sb="0" eb="2">
      <t>ブモン</t>
    </rPh>
    <rPh sb="2" eb="4">
      <t>ショウニン</t>
    </rPh>
    <rPh sb="4" eb="6">
      <t>ショリ</t>
    </rPh>
    <rPh sb="9" eb="10">
      <t>フン</t>
    </rPh>
    <rPh sb="11" eb="13">
      <t>ソウテイ</t>
    </rPh>
    <phoneticPr fontId="2"/>
  </si>
  <si>
    <t>封書・宛名書き（経理部門へ送付）
※0分を想定</t>
    <rPh sb="0" eb="2">
      <t>フウショ</t>
    </rPh>
    <rPh sb="3" eb="6">
      <t>アテナガ</t>
    </rPh>
    <rPh sb="8" eb="10">
      <t>ケイリ</t>
    </rPh>
    <rPh sb="10" eb="12">
      <t>ブモン</t>
    </rPh>
    <rPh sb="13" eb="15">
      <t>ソウフ</t>
    </rPh>
    <rPh sb="19" eb="20">
      <t>フン</t>
    </rPh>
    <rPh sb="21" eb="23">
      <t>ソウテイ</t>
    </rPh>
    <phoneticPr fontId="2"/>
  </si>
  <si>
    <t>請求書保管
※1分を想定</t>
    <rPh sb="0" eb="3">
      <t>セイキュウショ</t>
    </rPh>
    <rPh sb="3" eb="5">
      <t>ホカン</t>
    </rPh>
    <rPh sb="8" eb="9">
      <t>フン</t>
    </rPh>
    <rPh sb="10" eb="12">
      <t>ソウテイ</t>
    </rPh>
    <phoneticPr fontId="2"/>
  </si>
  <si>
    <t>社印押印
※0分を想定</t>
    <rPh sb="0" eb="2">
      <t>シャイン</t>
    </rPh>
    <rPh sb="2" eb="4">
      <t>オウイン</t>
    </rPh>
    <rPh sb="7" eb="8">
      <t>フン</t>
    </rPh>
    <rPh sb="9" eb="11">
      <t>ソウテイ</t>
    </rPh>
    <phoneticPr fontId="2"/>
  </si>
  <si>
    <t>※ココに入手方法を記入してください。</t>
    <rPh sb="4" eb="6">
      <t>ニュウシュ</t>
    </rPh>
    <rPh sb="6" eb="8">
      <t>ホウホウ</t>
    </rPh>
    <rPh sb="9" eb="11">
      <t>キニュウ</t>
    </rPh>
    <phoneticPr fontId="2"/>
  </si>
  <si>
    <t>※ココに入力方法を記入してください。</t>
    <rPh sb="4" eb="6">
      <t>ニュウリョク</t>
    </rPh>
    <rPh sb="6" eb="8">
      <t>ホウホウ</t>
    </rPh>
    <rPh sb="9" eb="11">
      <t>キニュウ</t>
    </rPh>
    <phoneticPr fontId="2"/>
  </si>
  <si>
    <t>注文請書の入手手段</t>
    <rPh sb="0" eb="2">
      <t>チュウモン</t>
    </rPh>
    <rPh sb="2" eb="4">
      <t>ウケショ</t>
    </rPh>
    <rPh sb="5" eb="7">
      <t>ニュウシュ</t>
    </rPh>
    <rPh sb="7" eb="9">
      <t>シュダン</t>
    </rPh>
    <phoneticPr fontId="2"/>
  </si>
  <si>
    <t>【印刷・捺印・コピー・送信・保管　・・・など】</t>
    <rPh sb="1" eb="3">
      <t>インサツ</t>
    </rPh>
    <rPh sb="4" eb="6">
      <t>ナツイン</t>
    </rPh>
    <rPh sb="11" eb="13">
      <t>ソウシン</t>
    </rPh>
    <rPh sb="14" eb="16">
      <t>ホカン</t>
    </rPh>
    <phoneticPr fontId="2"/>
  </si>
  <si>
    <t>【印刷・捺印・コピー・封書・配送・保管　・・・など】</t>
    <rPh sb="1" eb="3">
      <t>インサツ</t>
    </rPh>
    <rPh sb="11" eb="13">
      <t>フウショ</t>
    </rPh>
    <rPh sb="14" eb="16">
      <t>ハイソウ</t>
    </rPh>
    <phoneticPr fontId="2"/>
  </si>
  <si>
    <t>【印刷・捺印・コピー・データ形式変換・暗号化・保管　・・・など】</t>
    <rPh sb="14" eb="16">
      <t>ケイシキ</t>
    </rPh>
    <rPh sb="16" eb="18">
      <t>ヘンカン</t>
    </rPh>
    <rPh sb="19" eb="22">
      <t>アンゴウカ</t>
    </rPh>
    <phoneticPr fontId="2"/>
  </si>
  <si>
    <t>【印刷・捺印・コピー・保管・交通費・移動時間　・・・など】</t>
    <rPh sb="14" eb="17">
      <t>コウツウヒ</t>
    </rPh>
    <rPh sb="18" eb="20">
      <t>イドウ</t>
    </rPh>
    <rPh sb="20" eb="22">
      <t>ジカン</t>
    </rPh>
    <phoneticPr fontId="2"/>
  </si>
  <si>
    <t>業務毎コスト算出ワークシート_現状（発注者編）</t>
    <rPh sb="15" eb="17">
      <t>ゲンジョウ</t>
    </rPh>
    <phoneticPr fontId="2"/>
  </si>
  <si>
    <t>業務毎コスト算出ワークシート_導入後（発注者編）</t>
    <rPh sb="15" eb="17">
      <t>ドウニュウ</t>
    </rPh>
    <rPh sb="17" eb="18">
      <t>ゴ</t>
    </rPh>
    <phoneticPr fontId="2"/>
  </si>
  <si>
    <t>自社構築タイプ</t>
    <rPh sb="0" eb="2">
      <t>ジシャ</t>
    </rPh>
    <rPh sb="2" eb="4">
      <t>コウチク</t>
    </rPh>
    <phoneticPr fontId="2"/>
  </si>
  <si>
    <t>連携システムの開発</t>
    <rPh sb="0" eb="2">
      <t>レンケイ</t>
    </rPh>
    <rPh sb="7" eb="9">
      <t>カイハツ</t>
    </rPh>
    <phoneticPr fontId="2"/>
  </si>
  <si>
    <t>購買・注文業務連携</t>
    <rPh sb="0" eb="2">
      <t>コウバイ</t>
    </rPh>
    <rPh sb="3" eb="5">
      <t>チュウモン</t>
    </rPh>
    <rPh sb="5" eb="7">
      <t>ギョウム</t>
    </rPh>
    <rPh sb="7" eb="9">
      <t>レンケイ</t>
    </rPh>
    <phoneticPr fontId="2"/>
  </si>
  <si>
    <t>出来高・請求業務連携</t>
    <rPh sb="0" eb="3">
      <t>デキダカ</t>
    </rPh>
    <rPh sb="4" eb="6">
      <t>セイキュウ</t>
    </rPh>
    <rPh sb="6" eb="8">
      <t>ギョウム</t>
    </rPh>
    <rPh sb="8" eb="10">
      <t>レンケイ</t>
    </rPh>
    <phoneticPr fontId="2"/>
  </si>
  <si>
    <t>初期費</t>
    <rPh sb="0" eb="2">
      <t>ショキ</t>
    </rPh>
    <rPh sb="2" eb="3">
      <t>ヒ</t>
    </rPh>
    <phoneticPr fontId="2"/>
  </si>
  <si>
    <t>年額費</t>
    <rPh sb="0" eb="2">
      <t>ネンガク</t>
    </rPh>
    <rPh sb="2" eb="3">
      <t>ヒ</t>
    </rPh>
    <phoneticPr fontId="2"/>
  </si>
  <si>
    <t>CI-NET対応EDI機能</t>
    <rPh sb="6" eb="8">
      <t>タイオウ</t>
    </rPh>
    <rPh sb="11" eb="13">
      <t>キノウ</t>
    </rPh>
    <phoneticPr fontId="2"/>
  </si>
  <si>
    <t>原本保管システム</t>
    <rPh sb="0" eb="2">
      <t>ゲンポン</t>
    </rPh>
    <rPh sb="2" eb="4">
      <t>ホカン</t>
    </rPh>
    <phoneticPr fontId="2"/>
  </si>
  <si>
    <t>ASP活用タイプＩ</t>
    <rPh sb="3" eb="5">
      <t>カツヨウ</t>
    </rPh>
    <phoneticPr fontId="2"/>
  </si>
  <si>
    <t>ハード・ソフト費用</t>
    <rPh sb="7" eb="8">
      <t>ヒ</t>
    </rPh>
    <rPh sb="8" eb="9">
      <t>ヨウ</t>
    </rPh>
    <phoneticPr fontId="2"/>
  </si>
  <si>
    <t>対象</t>
    <rPh sb="0" eb="2">
      <t>タイショウ</t>
    </rPh>
    <phoneticPr fontId="2"/>
  </si>
  <si>
    <t>ASP活用タイプＩＩ</t>
    <rPh sb="3" eb="5">
      <t>カツヨウ</t>
    </rPh>
    <phoneticPr fontId="2"/>
  </si>
  <si>
    <t>業務システム</t>
    <rPh sb="0" eb="2">
      <t>ギョウム</t>
    </rPh>
    <phoneticPr fontId="2"/>
  </si>
  <si>
    <t>購買・注文業務</t>
    <rPh sb="0" eb="2">
      <t>コウバイ</t>
    </rPh>
    <rPh sb="3" eb="5">
      <t>チュウモン</t>
    </rPh>
    <rPh sb="5" eb="7">
      <t>ギョウム</t>
    </rPh>
    <phoneticPr fontId="2"/>
  </si>
  <si>
    <t>出来高・請求業務</t>
    <rPh sb="0" eb="3">
      <t>デキダカ</t>
    </rPh>
    <rPh sb="4" eb="6">
      <t>セイキュウ</t>
    </rPh>
    <rPh sb="6" eb="8">
      <t>ギョウム</t>
    </rPh>
    <phoneticPr fontId="2"/>
  </si>
  <si>
    <t>カスタマイズ費</t>
    <rPh sb="6" eb="7">
      <t>ヒ</t>
    </rPh>
    <phoneticPr fontId="2"/>
  </si>
  <si>
    <t>※既存システム流用</t>
    <rPh sb="1" eb="3">
      <t>キゾン</t>
    </rPh>
    <rPh sb="7" eb="9">
      <t>リュウヨウ</t>
    </rPh>
    <phoneticPr fontId="2"/>
  </si>
  <si>
    <t>※業務システムに含む</t>
    <rPh sb="1" eb="3">
      <t>ギョウム</t>
    </rPh>
    <rPh sb="8" eb="9">
      <t>フク</t>
    </rPh>
    <phoneticPr fontId="2"/>
  </si>
  <si>
    <t>業務ソフト活用タイプ</t>
    <rPh sb="0" eb="2">
      <t>ギョウム</t>
    </rPh>
    <rPh sb="5" eb="7">
      <t>カツヨウ</t>
    </rPh>
    <phoneticPr fontId="2"/>
  </si>
  <si>
    <t>※パッケージによってはサポート費用などがかかります</t>
    <rPh sb="15" eb="17">
      <t>ヒヨウ</t>
    </rPh>
    <phoneticPr fontId="2"/>
  </si>
  <si>
    <t>業務・原本サーバ</t>
    <rPh sb="0" eb="2">
      <t>ギョウム</t>
    </rPh>
    <rPh sb="3" eb="5">
      <t>ゲンポン</t>
    </rPh>
    <phoneticPr fontId="2"/>
  </si>
  <si>
    <t>コスト算出の為のCI-NET導入タイプ基礎情報</t>
    <rPh sb="14" eb="16">
      <t>ドウニュウ</t>
    </rPh>
    <phoneticPr fontId="2"/>
  </si>
  <si>
    <t>目標とする各業務の電子化率</t>
    <rPh sb="0" eb="2">
      <t>モクヒョウ</t>
    </rPh>
    <rPh sb="5" eb="8">
      <t>カクギョウム</t>
    </rPh>
    <rPh sb="9" eb="12">
      <t>デンシカ</t>
    </rPh>
    <rPh sb="12" eb="13">
      <t>リツ</t>
    </rPh>
    <phoneticPr fontId="2"/>
  </si>
  <si>
    <t>電子商取引</t>
    <rPh sb="0" eb="2">
      <t>デンシ</t>
    </rPh>
    <rPh sb="2" eb="3">
      <t>ショウ</t>
    </rPh>
    <rPh sb="3" eb="5">
      <t>トリヒキ</t>
    </rPh>
    <phoneticPr fontId="2"/>
  </si>
  <si>
    <t>共通</t>
    <rPh sb="0" eb="2">
      <t>キョウツウ</t>
    </rPh>
    <phoneticPr fontId="2"/>
  </si>
  <si>
    <t>出来高情報の入力時間</t>
    <rPh sb="0" eb="3">
      <t>デキダカ</t>
    </rPh>
    <rPh sb="3" eb="5">
      <t>ジョウホウ</t>
    </rPh>
    <rPh sb="6" eb="8">
      <t>ニュウリョク</t>
    </rPh>
    <rPh sb="8" eb="10">
      <t>ジカン</t>
    </rPh>
    <phoneticPr fontId="2"/>
  </si>
  <si>
    <t>購買見積依頼</t>
    <rPh sb="0" eb="2">
      <t>コウバイ</t>
    </rPh>
    <rPh sb="2" eb="4">
      <t>ミツモリ</t>
    </rPh>
    <rPh sb="4" eb="6">
      <t>イライ</t>
    </rPh>
    <phoneticPr fontId="2"/>
  </si>
  <si>
    <t>購買見積回答</t>
    <rPh sb="0" eb="2">
      <t>コウバイ</t>
    </rPh>
    <rPh sb="2" eb="4">
      <t>ミツモリ</t>
    </rPh>
    <rPh sb="4" eb="6">
      <t>カイトウ</t>
    </rPh>
    <phoneticPr fontId="2"/>
  </si>
  <si>
    <t>確定注文</t>
    <rPh sb="0" eb="2">
      <t>カクテイ</t>
    </rPh>
    <rPh sb="2" eb="4">
      <t>チュウモン</t>
    </rPh>
    <phoneticPr fontId="2"/>
  </si>
  <si>
    <t>注文請け</t>
    <rPh sb="0" eb="2">
      <t>チュウモン</t>
    </rPh>
    <rPh sb="2" eb="3">
      <t>ウ</t>
    </rPh>
    <phoneticPr fontId="2"/>
  </si>
  <si>
    <t>請求</t>
    <rPh sb="0" eb="2">
      <t>セイキュウ</t>
    </rPh>
    <phoneticPr fontId="2"/>
  </si>
  <si>
    <t>基礎情報</t>
    <rPh sb="0" eb="2">
      <t>キソ</t>
    </rPh>
    <rPh sb="2" eb="4">
      <t>ジョウホウ</t>
    </rPh>
    <phoneticPr fontId="2"/>
  </si>
  <si>
    <t>合計金額のみ、購買システム等に入力</t>
    <rPh sb="0" eb="2">
      <t>ゴウケイ</t>
    </rPh>
    <rPh sb="2" eb="4">
      <t>キンガク</t>
    </rPh>
    <rPh sb="13" eb="14">
      <t>トウ</t>
    </rPh>
    <phoneticPr fontId="2"/>
  </si>
  <si>
    <t>内訳明細の単価情報を、購買システム等に入力</t>
    <rPh sb="0" eb="2">
      <t>ウチワケ</t>
    </rPh>
    <rPh sb="2" eb="4">
      <t>メイサイ</t>
    </rPh>
    <rPh sb="5" eb="7">
      <t>タンカ</t>
    </rPh>
    <rPh sb="7" eb="9">
      <t>ジョウホウ</t>
    </rPh>
    <rPh sb="17" eb="18">
      <t>ナド</t>
    </rPh>
    <phoneticPr fontId="2"/>
  </si>
  <si>
    <t>相見積もりについて</t>
    <rPh sb="0" eb="1">
      <t>アイ</t>
    </rPh>
    <rPh sb="1" eb="3">
      <t>ミツ</t>
    </rPh>
    <phoneticPr fontId="2"/>
  </si>
  <si>
    <t>請求書件数（契約外）</t>
    <rPh sb="0" eb="2">
      <t>セイキュウ</t>
    </rPh>
    <rPh sb="2" eb="3">
      <t>ショ</t>
    </rPh>
    <rPh sb="6" eb="8">
      <t>ケイヤク</t>
    </rPh>
    <rPh sb="8" eb="9">
      <t>ガイ</t>
    </rPh>
    <phoneticPr fontId="2"/>
  </si>
  <si>
    <t>請求書件数（契約）</t>
    <rPh sb="0" eb="2">
      <t>セイキュウ</t>
    </rPh>
    <rPh sb="2" eb="3">
      <t>ショ</t>
    </rPh>
    <rPh sb="6" eb="8">
      <t>ケイヤク</t>
    </rPh>
    <phoneticPr fontId="2"/>
  </si>
  <si>
    <t>=(ア)年間契約件数×(ウ)相見積社数</t>
    <rPh sb="4" eb="6">
      <t>ネンカン</t>
    </rPh>
    <rPh sb="6" eb="8">
      <t>ケイヤク</t>
    </rPh>
    <rPh sb="8" eb="10">
      <t>ケンスウ</t>
    </rPh>
    <rPh sb="14" eb="15">
      <t>アイ</t>
    </rPh>
    <rPh sb="15" eb="17">
      <t>ミツ</t>
    </rPh>
    <rPh sb="17" eb="18">
      <t>シャ</t>
    </rPh>
    <rPh sb="18" eb="19">
      <t>スウ</t>
    </rPh>
    <phoneticPr fontId="2"/>
  </si>
  <si>
    <t>=(イ)年間請求件数×請求の「契約」の割合</t>
    <rPh sb="4" eb="6">
      <t>ネンカン</t>
    </rPh>
    <rPh sb="6" eb="8">
      <t>セイキュウ</t>
    </rPh>
    <rPh sb="8" eb="10">
      <t>ケンスウ</t>
    </rPh>
    <rPh sb="11" eb="13">
      <t>セイキュウ</t>
    </rPh>
    <rPh sb="15" eb="17">
      <t>ケイヤク</t>
    </rPh>
    <rPh sb="19" eb="21">
      <t>ワリアイ</t>
    </rPh>
    <phoneticPr fontId="2"/>
  </si>
  <si>
    <t>=(イ)年間請求件数×請求の「契約外」の割合</t>
    <rPh sb="4" eb="6">
      <t>ネンカン</t>
    </rPh>
    <rPh sb="6" eb="8">
      <t>セイキュウ</t>
    </rPh>
    <rPh sb="8" eb="10">
      <t>ケンスウ</t>
    </rPh>
    <rPh sb="11" eb="13">
      <t>セイキュウ</t>
    </rPh>
    <rPh sb="15" eb="17">
      <t>ケイヤク</t>
    </rPh>
    <rPh sb="17" eb="18">
      <t>ガイ</t>
    </rPh>
    <rPh sb="20" eb="22">
      <t>ワリアイ</t>
    </rPh>
    <phoneticPr fontId="2"/>
  </si>
  <si>
    <t>=(ア)年間契約件数</t>
    <rPh sb="4" eb="6">
      <t>ネンカン</t>
    </rPh>
    <rPh sb="6" eb="8">
      <t>ケイヤク</t>
    </rPh>
    <rPh sb="8" eb="10">
      <t>ケンスウ</t>
    </rPh>
    <phoneticPr fontId="2"/>
  </si>
  <si>
    <t>導入後効果予測シート（発注者）</t>
    <rPh sb="3" eb="5">
      <t>コウカ</t>
    </rPh>
    <rPh sb="11" eb="14">
      <t>ハッチュウシャ</t>
    </rPh>
    <phoneticPr fontId="2"/>
  </si>
  <si>
    <t>業務量調査シートからの抜粋です</t>
    <rPh sb="0" eb="2">
      <t>ギョウム</t>
    </rPh>
    <rPh sb="2" eb="3">
      <t>リョウ</t>
    </rPh>
    <rPh sb="3" eb="5">
      <t>チョウサ</t>
    </rPh>
    <rPh sb="11" eb="13">
      <t>バッスイ</t>
    </rPh>
    <phoneticPr fontId="2"/>
  </si>
  <si>
    <t>購買見積依頼</t>
    <rPh sb="0" eb="2">
      <t>コウバイ</t>
    </rPh>
    <rPh sb="2" eb="4">
      <t>ミツモ</t>
    </rPh>
    <rPh sb="4" eb="6">
      <t>イライ</t>
    </rPh>
    <phoneticPr fontId="2"/>
  </si>
  <si>
    <t>電子商取引業務運用した場合、想定される見積作成時間はどのくらいですか</t>
    <rPh sb="0" eb="2">
      <t>デンシ</t>
    </rPh>
    <rPh sb="2" eb="3">
      <t>ショウ</t>
    </rPh>
    <rPh sb="3" eb="5">
      <t>トリヒキ</t>
    </rPh>
    <rPh sb="5" eb="7">
      <t>ギョウム</t>
    </rPh>
    <rPh sb="7" eb="9">
      <t>ウンヨウ</t>
    </rPh>
    <rPh sb="11" eb="13">
      <t>バアイ</t>
    </rPh>
    <rPh sb="14" eb="16">
      <t>ソウテイ</t>
    </rPh>
    <rPh sb="19" eb="21">
      <t>ミツモリ</t>
    </rPh>
    <rPh sb="21" eb="23">
      <t>サクセイ</t>
    </rPh>
    <rPh sb="23" eb="25">
      <t>ジカン</t>
    </rPh>
    <phoneticPr fontId="2"/>
  </si>
  <si>
    <t>従来</t>
    <rPh sb="0" eb="2">
      <t>ジュウライ</t>
    </rPh>
    <phoneticPr fontId="2"/>
  </si>
  <si>
    <t>分程度/1依頼</t>
    <rPh sb="0" eb="1">
      <t>フン</t>
    </rPh>
    <rPh sb="1" eb="3">
      <t>テイド</t>
    </rPh>
    <rPh sb="5" eb="7">
      <t>イライ</t>
    </rPh>
    <phoneticPr fontId="2"/>
  </si>
  <si>
    <t>電子商取引業務運用した場合、想定される見積比較にかける時間はどのくらいですか</t>
    <rPh sb="14" eb="16">
      <t>ソウテイ</t>
    </rPh>
    <rPh sb="19" eb="21">
      <t>ミツモリ</t>
    </rPh>
    <rPh sb="21" eb="23">
      <t>ヒカク</t>
    </rPh>
    <rPh sb="27" eb="29">
      <t>ジカン</t>
    </rPh>
    <phoneticPr fontId="2"/>
  </si>
  <si>
    <t>分程度/1件</t>
    <rPh sb="0" eb="1">
      <t>フン</t>
    </rPh>
    <rPh sb="1" eb="3">
      <t>テイド</t>
    </rPh>
    <rPh sb="5" eb="6">
      <t>ケン</t>
    </rPh>
    <phoneticPr fontId="2"/>
  </si>
  <si>
    <t>電子商取引業務運用した場合、想定される注文書の作成時間はどのくらいですか</t>
    <rPh sb="0" eb="2">
      <t>デンシ</t>
    </rPh>
    <rPh sb="2" eb="3">
      <t>ショウ</t>
    </rPh>
    <rPh sb="3" eb="5">
      <t>トリヒキ</t>
    </rPh>
    <rPh sb="5" eb="7">
      <t>ギョウム</t>
    </rPh>
    <rPh sb="7" eb="9">
      <t>ウンヨウ</t>
    </rPh>
    <rPh sb="11" eb="13">
      <t>バアイ</t>
    </rPh>
    <rPh sb="14" eb="16">
      <t>ソウテイ</t>
    </rPh>
    <rPh sb="19" eb="22">
      <t>チュウモンショ</t>
    </rPh>
    <rPh sb="23" eb="25">
      <t>サクセイ</t>
    </rPh>
    <rPh sb="25" eb="27">
      <t>ジカン</t>
    </rPh>
    <phoneticPr fontId="2"/>
  </si>
  <si>
    <t>分/1注文</t>
    <rPh sb="0" eb="1">
      <t>フン</t>
    </rPh>
    <rPh sb="3" eb="5">
      <t>チュウモン</t>
    </rPh>
    <phoneticPr fontId="2"/>
  </si>
  <si>
    <t>分程度/1注文</t>
    <rPh sb="0" eb="1">
      <t>フン</t>
    </rPh>
    <rPh sb="1" eb="3">
      <t>テイド</t>
    </rPh>
    <rPh sb="5" eb="7">
      <t>チュウモン</t>
    </rPh>
    <phoneticPr fontId="2"/>
  </si>
  <si>
    <t>業務書類量調査シート（発注者）</t>
    <phoneticPr fontId="2"/>
  </si>
  <si>
    <t>　対象範囲（　　　　　　　　　　　　　　　　　　　　　　　　　　　　　　　　　　　）</t>
    <rPh sb="1" eb="3">
      <t>タイショウ</t>
    </rPh>
    <rPh sb="3" eb="5">
      <t>ハンイ</t>
    </rPh>
    <phoneticPr fontId="2"/>
  </si>
  <si>
    <t>電子商取引業務運用した場合、想定される請書情報の入力時間はどのくらいですか</t>
    <rPh sb="0" eb="2">
      <t>デンシ</t>
    </rPh>
    <rPh sb="2" eb="3">
      <t>ショウ</t>
    </rPh>
    <rPh sb="3" eb="5">
      <t>トリヒキ</t>
    </rPh>
    <rPh sb="5" eb="7">
      <t>ギョウム</t>
    </rPh>
    <rPh sb="7" eb="9">
      <t>ウンヨウ</t>
    </rPh>
    <rPh sb="11" eb="13">
      <t>バアイ</t>
    </rPh>
    <rPh sb="14" eb="16">
      <t>ソウテイ</t>
    </rPh>
    <rPh sb="19" eb="21">
      <t>ウケショ</t>
    </rPh>
    <rPh sb="21" eb="23">
      <t>ジョウホウ</t>
    </rPh>
    <rPh sb="24" eb="26">
      <t>ニュウリョク</t>
    </rPh>
    <rPh sb="26" eb="28">
      <t>ジカン</t>
    </rPh>
    <phoneticPr fontId="2"/>
  </si>
  <si>
    <t>電子商取引業務運用した場合、想定される入力時間はどのくらいですか</t>
    <rPh sb="0" eb="2">
      <t>デンシ</t>
    </rPh>
    <rPh sb="2" eb="5">
      <t>ショウトリヒキ</t>
    </rPh>
    <rPh sb="5" eb="7">
      <t>ギョウム</t>
    </rPh>
    <rPh sb="7" eb="9">
      <t>ウンヨウ</t>
    </rPh>
    <rPh sb="11" eb="13">
      <t>バアイ</t>
    </rPh>
    <rPh sb="14" eb="16">
      <t>ソウテイ</t>
    </rPh>
    <rPh sb="19" eb="21">
      <t>ニュウリョク</t>
    </rPh>
    <rPh sb="21" eb="23">
      <t>ジカン</t>
    </rPh>
    <phoneticPr fontId="2"/>
  </si>
  <si>
    <t>初回の出来高情報の入力時間</t>
    <phoneticPr fontId="2"/>
  </si>
  <si>
    <t>分程度</t>
    <rPh sb="0" eb="1">
      <t>フン</t>
    </rPh>
    <rPh sb="1" eb="3">
      <t>テイド</t>
    </rPh>
    <phoneticPr fontId="2"/>
  </si>
  <si>
    <t>２回目以降の出来高情報の入力時間</t>
    <phoneticPr fontId="2"/>
  </si>
  <si>
    <t>電子商取引業務運用した場合、想定される請求情報の入力時間はどのくらいですか</t>
    <rPh sb="0" eb="2">
      <t>デンシ</t>
    </rPh>
    <rPh sb="2" eb="5">
      <t>ショウトリヒキ</t>
    </rPh>
    <rPh sb="5" eb="7">
      <t>ギョウム</t>
    </rPh>
    <rPh sb="7" eb="9">
      <t>ウンヨウ</t>
    </rPh>
    <rPh sb="11" eb="13">
      <t>バアイ</t>
    </rPh>
    <rPh sb="14" eb="16">
      <t>ソウテイ</t>
    </rPh>
    <rPh sb="19" eb="21">
      <t>セイキュウ</t>
    </rPh>
    <rPh sb="21" eb="23">
      <t>ジョウホウ</t>
    </rPh>
    <rPh sb="24" eb="26">
      <t>ニュウリョク</t>
    </rPh>
    <rPh sb="26" eb="28">
      <t>ジカン</t>
    </rPh>
    <phoneticPr fontId="2"/>
  </si>
  <si>
    <t>分/1請求</t>
    <rPh sb="0" eb="1">
      <t>フン</t>
    </rPh>
    <rPh sb="3" eb="5">
      <t>セイキュウ</t>
    </rPh>
    <phoneticPr fontId="2"/>
  </si>
  <si>
    <t>分程度/1請求</t>
    <rPh sb="0" eb="1">
      <t>フン</t>
    </rPh>
    <rPh sb="1" eb="3">
      <t>テイド</t>
    </rPh>
    <rPh sb="5" eb="7">
      <t>セイキュウ</t>
    </rPh>
    <phoneticPr fontId="2"/>
  </si>
  <si>
    <t>電子商取引</t>
    <rPh sb="0" eb="2">
      <t>デンシ</t>
    </rPh>
    <rPh sb="2" eb="5">
      <t>ショウトリヒキ</t>
    </rPh>
    <phoneticPr fontId="2"/>
  </si>
  <si>
    <t>見積依頼の作成時間
（導入後効果予測シートより導入後時間を参照）</t>
    <rPh sb="0" eb="2">
      <t>ミツモリ</t>
    </rPh>
    <rPh sb="2" eb="4">
      <t>イライ</t>
    </rPh>
    <rPh sb="5" eb="7">
      <t>サクセイ</t>
    </rPh>
    <rPh sb="7" eb="9">
      <t>ジカン</t>
    </rPh>
    <rPh sb="11" eb="13">
      <t>ドウニュウ</t>
    </rPh>
    <rPh sb="13" eb="14">
      <t>ゴ</t>
    </rPh>
    <rPh sb="14" eb="16">
      <t>コウカ</t>
    </rPh>
    <rPh sb="16" eb="18">
      <t>ヨソク</t>
    </rPh>
    <rPh sb="23" eb="25">
      <t>ドウニュウ</t>
    </rPh>
    <rPh sb="25" eb="26">
      <t>ゴ</t>
    </rPh>
    <rPh sb="26" eb="28">
      <t>ジカン</t>
    </rPh>
    <rPh sb="29" eb="31">
      <t>サンショウ</t>
    </rPh>
    <phoneticPr fontId="2"/>
  </si>
  <si>
    <t xml:space="preserve">業者選定（相見積先の決定）
</t>
    <rPh sb="0" eb="2">
      <t>ギョウシャ</t>
    </rPh>
    <rPh sb="2" eb="4">
      <t>センテイ</t>
    </rPh>
    <rPh sb="5" eb="6">
      <t>アイ</t>
    </rPh>
    <rPh sb="6" eb="8">
      <t>ミツモリ</t>
    </rPh>
    <rPh sb="8" eb="9">
      <t>サキ</t>
    </rPh>
    <rPh sb="10" eb="12">
      <t>ケッテイ</t>
    </rPh>
    <phoneticPr fontId="2"/>
  </si>
  <si>
    <t xml:space="preserve">部門承認処理（所属長の確認、承認）
</t>
    <rPh sb="0" eb="2">
      <t>ブモン</t>
    </rPh>
    <rPh sb="2" eb="4">
      <t>ショウニン</t>
    </rPh>
    <rPh sb="4" eb="6">
      <t>ショリ</t>
    </rPh>
    <rPh sb="7" eb="10">
      <t>ショゾクチョウ</t>
    </rPh>
    <rPh sb="11" eb="13">
      <t>カクニン</t>
    </rPh>
    <rPh sb="14" eb="16">
      <t>ショウニン</t>
    </rPh>
    <phoneticPr fontId="2"/>
  </si>
  <si>
    <t xml:space="preserve">封書・宛名書き
</t>
    <rPh sb="0" eb="2">
      <t>フウショ</t>
    </rPh>
    <rPh sb="3" eb="5">
      <t>アテナ</t>
    </rPh>
    <rPh sb="5" eb="6">
      <t>カ</t>
    </rPh>
    <phoneticPr fontId="2"/>
  </si>
  <si>
    <t xml:space="preserve">担当者移動時間（往復）
</t>
    <rPh sb="0" eb="3">
      <t>タントウシャ</t>
    </rPh>
    <rPh sb="3" eb="5">
      <t>イドウ</t>
    </rPh>
    <rPh sb="5" eb="7">
      <t>ジカン</t>
    </rPh>
    <rPh sb="8" eb="10">
      <t>オウフク</t>
    </rPh>
    <phoneticPr fontId="2"/>
  </si>
  <si>
    <t xml:space="preserve">書類枚数
</t>
    <rPh sb="0" eb="2">
      <t>ショルイ</t>
    </rPh>
    <rPh sb="2" eb="4">
      <t>マイスウ</t>
    </rPh>
    <phoneticPr fontId="2"/>
  </si>
  <si>
    <t xml:space="preserve">見積依頼書の印刷代
</t>
    <rPh sb="0" eb="2">
      <t>ミツモリ</t>
    </rPh>
    <rPh sb="2" eb="4">
      <t>イライ</t>
    </rPh>
    <rPh sb="4" eb="5">
      <t>ショ</t>
    </rPh>
    <rPh sb="6" eb="8">
      <t>インサツ</t>
    </rPh>
    <rPh sb="8" eb="9">
      <t>ダイ</t>
    </rPh>
    <phoneticPr fontId="2"/>
  </si>
  <si>
    <t xml:space="preserve">FAX通信費
</t>
    <rPh sb="3" eb="6">
      <t>ツウシンヒ</t>
    </rPh>
    <phoneticPr fontId="2"/>
  </si>
  <si>
    <t xml:space="preserve">郵送料
</t>
    <rPh sb="0" eb="3">
      <t>ユウソウリョウ</t>
    </rPh>
    <phoneticPr fontId="2"/>
  </si>
  <si>
    <t xml:space="preserve">交通費　往復
</t>
    <rPh sb="0" eb="3">
      <t>コウツウヒ</t>
    </rPh>
    <rPh sb="4" eb="6">
      <t>オウフク</t>
    </rPh>
    <phoneticPr fontId="2"/>
  </si>
  <si>
    <t xml:space="preserve">見積比較にかける時間の平均
</t>
    <rPh sb="0" eb="2">
      <t>ミツモリ</t>
    </rPh>
    <rPh sb="2" eb="4">
      <t>ヒカク</t>
    </rPh>
    <rPh sb="8" eb="10">
      <t>ジカン</t>
    </rPh>
    <rPh sb="11" eb="13">
      <t>ヘイキン</t>
    </rPh>
    <phoneticPr fontId="2"/>
  </si>
  <si>
    <t>※工期を3ヶ月と想定しております。</t>
    <rPh sb="1" eb="3">
      <t>コウキ</t>
    </rPh>
    <rPh sb="6" eb="7">
      <t>ゲツ</t>
    </rPh>
    <rPh sb="8" eb="10">
      <t>ソウテイ</t>
    </rPh>
    <phoneticPr fontId="2"/>
  </si>
  <si>
    <r>
      <t xml:space="preserve">出来高情報の入力時間
</t>
    </r>
    <r>
      <rPr>
        <sz val="9"/>
        <rFont val="ＭＳ Ｐゴシック"/>
        <family val="3"/>
        <charset val="128"/>
      </rPr>
      <t>（現業務調査シート・導入後効果予測シートの2回目以降より、平均工期3ヶ月を想定し、平均入力時間を算出）</t>
    </r>
    <rPh sb="0" eb="3">
      <t>デキダカ</t>
    </rPh>
    <rPh sb="3" eb="5">
      <t>ジョウホウ</t>
    </rPh>
    <rPh sb="6" eb="8">
      <t>ニュウリョク</t>
    </rPh>
    <rPh sb="8" eb="10">
      <t>ジカン</t>
    </rPh>
    <rPh sb="12" eb="13">
      <t>ウツツ</t>
    </rPh>
    <rPh sb="13" eb="15">
      <t>ギョウム</t>
    </rPh>
    <rPh sb="15" eb="17">
      <t>チョウサ</t>
    </rPh>
    <rPh sb="21" eb="23">
      <t>ドウニュウ</t>
    </rPh>
    <rPh sb="23" eb="24">
      <t>ゴ</t>
    </rPh>
    <rPh sb="24" eb="26">
      <t>コウカ</t>
    </rPh>
    <rPh sb="26" eb="28">
      <t>ヨソク</t>
    </rPh>
    <rPh sb="33" eb="35">
      <t>カイメ</t>
    </rPh>
    <rPh sb="35" eb="37">
      <t>イコウ</t>
    </rPh>
    <rPh sb="40" eb="42">
      <t>ヘイキン</t>
    </rPh>
    <rPh sb="42" eb="44">
      <t>コウキ</t>
    </rPh>
    <rPh sb="46" eb="47">
      <t>ゲツ</t>
    </rPh>
    <rPh sb="48" eb="50">
      <t>ソウテイ</t>
    </rPh>
    <rPh sb="52" eb="54">
      <t>ヘイキン</t>
    </rPh>
    <rPh sb="54" eb="56">
      <t>ニュウリョク</t>
    </rPh>
    <rPh sb="56" eb="58">
      <t>ジカン</t>
    </rPh>
    <rPh sb="59" eb="61">
      <t>サンシュツ</t>
    </rPh>
    <phoneticPr fontId="2"/>
  </si>
  <si>
    <t>－</t>
    <phoneticPr fontId="2"/>
  </si>
  <si>
    <r>
      <t xml:space="preserve">出来高情報の入力時間
</t>
    </r>
    <r>
      <rPr>
        <sz val="9"/>
        <rFont val="ＭＳ Ｐゴシック"/>
        <family val="3"/>
        <charset val="128"/>
      </rPr>
      <t>（導入後効果予測シートの初回、2回目以降より、平均工期3ヶ月を想定し、平均入力時間を算出）</t>
    </r>
    <rPh sb="0" eb="3">
      <t>デキダカ</t>
    </rPh>
    <rPh sb="3" eb="5">
      <t>ジョウホウ</t>
    </rPh>
    <rPh sb="6" eb="8">
      <t>ニュウリョク</t>
    </rPh>
    <rPh sb="8" eb="10">
      <t>ジカン</t>
    </rPh>
    <rPh sb="23" eb="25">
      <t>ショカイ</t>
    </rPh>
    <phoneticPr fontId="2"/>
  </si>
  <si>
    <t>●目標電子化率</t>
    <rPh sb="1" eb="3">
      <t>モクヒョウ</t>
    </rPh>
    <rPh sb="3" eb="6">
      <t>デンシカ</t>
    </rPh>
    <rPh sb="6" eb="7">
      <t>リツ</t>
    </rPh>
    <phoneticPr fontId="2"/>
  </si>
  <si>
    <t>調査対象業務</t>
    <phoneticPr fontId="2"/>
  </si>
  <si>
    <t>ファイリング</t>
    <phoneticPr fontId="2"/>
  </si>
  <si>
    <t>契約（注文書の受け取り)</t>
    <phoneticPr fontId="2"/>
  </si>
  <si>
    <t>契約（注文書の発行)</t>
    <phoneticPr fontId="2"/>
  </si>
  <si>
    <t>調査対象業務</t>
    <phoneticPr fontId="2"/>
  </si>
  <si>
    <t>目標年後のコスト</t>
    <rPh sb="0" eb="2">
      <t>モクヒョウ</t>
    </rPh>
    <rPh sb="2" eb="3">
      <t>ネン</t>
    </rPh>
    <rPh sb="3" eb="4">
      <t>ゴ</t>
    </rPh>
    <phoneticPr fontId="2"/>
  </si>
  <si>
    <t>現状のコスト</t>
    <rPh sb="0" eb="2">
      <t>ゲンジョウ</t>
    </rPh>
    <phoneticPr fontId="2"/>
  </si>
  <si>
    <t>現業務別コスト結果・導入後コスト報告（目標電子化率の年数別）</t>
    <rPh sb="0" eb="1">
      <t>ウツツ</t>
    </rPh>
    <rPh sb="1" eb="3">
      <t>ギョウム</t>
    </rPh>
    <rPh sb="3" eb="4">
      <t>ベツ</t>
    </rPh>
    <rPh sb="7" eb="9">
      <t>ケッカ</t>
    </rPh>
    <rPh sb="10" eb="12">
      <t>ドウニュウ</t>
    </rPh>
    <rPh sb="12" eb="13">
      <t>ゴ</t>
    </rPh>
    <rPh sb="16" eb="18">
      <t>ホウコク</t>
    </rPh>
    <rPh sb="19" eb="21">
      <t>モクヒョウ</t>
    </rPh>
    <rPh sb="21" eb="24">
      <t>デンシカ</t>
    </rPh>
    <rPh sb="24" eb="25">
      <t>リツ</t>
    </rPh>
    <rPh sb="26" eb="28">
      <t>ネンスウ</t>
    </rPh>
    <rPh sb="28" eb="29">
      <t>ベツ</t>
    </rPh>
    <phoneticPr fontId="2"/>
  </si>
  <si>
    <t>差</t>
    <rPh sb="0" eb="1">
      <t>サ</t>
    </rPh>
    <phoneticPr fontId="2"/>
  </si>
  <si>
    <t>年間発生件数</t>
    <rPh sb="2" eb="4">
      <t>ハッセイ</t>
    </rPh>
    <phoneticPr fontId="2"/>
  </si>
  <si>
    <t>後</t>
    <rPh sb="0" eb="1">
      <t>ゴ</t>
    </rPh>
    <phoneticPr fontId="2"/>
  </si>
  <si>
    <t>目標電子化率シート（発注者）</t>
    <rPh sb="10" eb="13">
      <t>ハッチュウシャ</t>
    </rPh>
    <phoneticPr fontId="2"/>
  </si>
  <si>
    <t>情報転載、自動計算するセルです</t>
    <rPh sb="0" eb="2">
      <t>ジョウホウ</t>
    </rPh>
    <rPh sb="2" eb="4">
      <t>テンサイ</t>
    </rPh>
    <rPh sb="5" eb="7">
      <t>ジドウ</t>
    </rPh>
    <rPh sb="7" eb="9">
      <t>ケイサン</t>
    </rPh>
    <phoneticPr fontId="2"/>
  </si>
  <si>
    <t>本シートに記入する項目は、目標電子化率の項目の入力だけでもかまいません。</t>
    <rPh sb="0" eb="1">
      <t>ホン</t>
    </rPh>
    <rPh sb="5" eb="7">
      <t>キニュウ</t>
    </rPh>
    <rPh sb="9" eb="11">
      <t>コウモク</t>
    </rPh>
    <rPh sb="13" eb="15">
      <t>モクヒョウ</t>
    </rPh>
    <rPh sb="15" eb="18">
      <t>デンシカ</t>
    </rPh>
    <rPh sb="18" eb="19">
      <t>リツ</t>
    </rPh>
    <rPh sb="20" eb="22">
      <t>コウモク</t>
    </rPh>
    <rPh sb="23" eb="25">
      <t>ニュウリョク</t>
    </rPh>
    <phoneticPr fontId="2"/>
  </si>
  <si>
    <t>1年後</t>
    <rPh sb="1" eb="3">
      <t>ネンゴ</t>
    </rPh>
    <phoneticPr fontId="2"/>
  </si>
  <si>
    <t>承認処理</t>
    <rPh sb="0" eb="2">
      <t>ショウニン</t>
    </rPh>
    <rPh sb="2" eb="4">
      <t>ショリ</t>
    </rPh>
    <phoneticPr fontId="2"/>
  </si>
  <si>
    <t>購買見積依頼</t>
    <rPh sb="0" eb="6">
      <t>０３０１</t>
    </rPh>
    <phoneticPr fontId="2"/>
  </si>
  <si>
    <t>【電子化後】</t>
    <rPh sb="1" eb="4">
      <t>デンシカ</t>
    </rPh>
    <rPh sb="4" eb="5">
      <t>ゴ</t>
    </rPh>
    <phoneticPr fontId="2"/>
  </si>
  <si>
    <t>作成・折衝など</t>
    <rPh sb="0" eb="2">
      <t>サクセイ</t>
    </rPh>
    <rPh sb="3" eb="5">
      <t>セッショウ</t>
    </rPh>
    <phoneticPr fontId="2"/>
  </si>
  <si>
    <t>準備・確認など</t>
    <rPh sb="0" eb="2">
      <t>ジュンビ</t>
    </rPh>
    <rPh sb="3" eb="5">
      <t>カクニン</t>
    </rPh>
    <phoneticPr fontId="2"/>
  </si>
  <si>
    <t>移動時間・封書詰めなど</t>
    <rPh sb="0" eb="2">
      <t>イドウ</t>
    </rPh>
    <rPh sb="2" eb="4">
      <t>ジカン</t>
    </rPh>
    <rPh sb="5" eb="7">
      <t>フウショ</t>
    </rPh>
    <rPh sb="7" eb="8">
      <t>ヅ</t>
    </rPh>
    <phoneticPr fontId="2"/>
  </si>
  <si>
    <t>目標となる電子化率の想定が難しい場合には、”参考：取引先企業の電子化率状況の算出”、”参考：主要取引先状況の算出”を入力して頂き、</t>
    <rPh sb="0" eb="2">
      <t>モクヒョウ</t>
    </rPh>
    <rPh sb="5" eb="8">
      <t>デンシカ</t>
    </rPh>
    <rPh sb="8" eb="9">
      <t>リツ</t>
    </rPh>
    <rPh sb="10" eb="12">
      <t>ソウテイ</t>
    </rPh>
    <rPh sb="13" eb="14">
      <t>ムズカ</t>
    </rPh>
    <rPh sb="16" eb="18">
      <t>バアイ</t>
    </rPh>
    <rPh sb="22" eb="24">
      <t>サンコウ</t>
    </rPh>
    <rPh sb="58" eb="60">
      <t>ニュウリョク</t>
    </rPh>
    <rPh sb="62" eb="63">
      <t>イタダ</t>
    </rPh>
    <phoneticPr fontId="2"/>
  </si>
  <si>
    <t>その状況を元に、目標の電子化率を設定してください。</t>
    <rPh sb="2" eb="4">
      <t>ジョウキョウ</t>
    </rPh>
    <rPh sb="5" eb="6">
      <t>モト</t>
    </rPh>
    <rPh sb="8" eb="10">
      <t>モクヒョウ</t>
    </rPh>
    <rPh sb="11" eb="14">
      <t>デンシカ</t>
    </rPh>
    <rPh sb="14" eb="15">
      <t>リツ</t>
    </rPh>
    <rPh sb="16" eb="18">
      <t>セッテイ</t>
    </rPh>
    <phoneticPr fontId="2"/>
  </si>
  <si>
    <t>目標電子化率</t>
    <rPh sb="0" eb="2">
      <t>モクヒョウ</t>
    </rPh>
    <rPh sb="2" eb="5">
      <t>デンシカ</t>
    </rPh>
    <rPh sb="5" eb="6">
      <t>リツ</t>
    </rPh>
    <phoneticPr fontId="2"/>
  </si>
  <si>
    <t>年後の目標電子化率</t>
    <rPh sb="0" eb="1">
      <t>ネン</t>
    </rPh>
    <rPh sb="1" eb="2">
      <t>ゴ</t>
    </rPh>
    <rPh sb="3" eb="5">
      <t>モクヒョウ</t>
    </rPh>
    <rPh sb="5" eb="8">
      <t>デンシカ</t>
    </rPh>
    <rPh sb="8" eb="9">
      <t>リツ</t>
    </rPh>
    <phoneticPr fontId="2"/>
  </si>
  <si>
    <t>書類保管料</t>
    <rPh sb="0" eb="2">
      <t>ショルイ</t>
    </rPh>
    <rPh sb="2" eb="4">
      <t>ホカン</t>
    </rPh>
    <rPh sb="4" eb="5">
      <t>リョウ</t>
    </rPh>
    <phoneticPr fontId="2"/>
  </si>
  <si>
    <t>目標企業数</t>
    <rPh sb="0" eb="2">
      <t>モクヒョウ</t>
    </rPh>
    <rPh sb="2" eb="4">
      <t>キギョウ</t>
    </rPh>
    <rPh sb="4" eb="5">
      <t>スウ</t>
    </rPh>
    <phoneticPr fontId="2"/>
  </si>
  <si>
    <t>取引先・電子化率</t>
    <phoneticPr fontId="2"/>
  </si>
  <si>
    <t>購買見積～確定注文まで</t>
    <rPh sb="0" eb="2">
      <t>コウバイ</t>
    </rPh>
    <rPh sb="2" eb="4">
      <t>ミツモリ</t>
    </rPh>
    <rPh sb="5" eb="7">
      <t>カクテイ</t>
    </rPh>
    <rPh sb="7" eb="9">
      <t>チュウモン</t>
    </rPh>
    <phoneticPr fontId="2"/>
  </si>
  <si>
    <t>電子契約件数</t>
    <rPh sb="0" eb="2">
      <t>デンシ</t>
    </rPh>
    <rPh sb="2" eb="4">
      <t>ケイヤク</t>
    </rPh>
    <rPh sb="4" eb="6">
      <t>ケンスウ</t>
    </rPh>
    <phoneticPr fontId="2"/>
  </si>
  <si>
    <t>出来高報告～請求まで</t>
    <rPh sb="0" eb="3">
      <t>デキダカ</t>
    </rPh>
    <rPh sb="3" eb="5">
      <t>ホウコク</t>
    </rPh>
    <rPh sb="6" eb="8">
      <t>セイキュウ</t>
    </rPh>
    <phoneticPr fontId="2"/>
  </si>
  <si>
    <t>参考：取引先企業の電子化率状況の算出</t>
    <rPh sb="0" eb="2">
      <t>サンコウ</t>
    </rPh>
    <rPh sb="3" eb="5">
      <t>トリヒキ</t>
    </rPh>
    <rPh sb="5" eb="6">
      <t>サキ</t>
    </rPh>
    <rPh sb="6" eb="8">
      <t>キギョウ</t>
    </rPh>
    <rPh sb="9" eb="12">
      <t>デンシカ</t>
    </rPh>
    <rPh sb="12" eb="13">
      <t>リツ</t>
    </rPh>
    <rPh sb="13" eb="15">
      <t>ジョウキョウ</t>
    </rPh>
    <rPh sb="16" eb="18">
      <t>サンシュツ</t>
    </rPh>
    <phoneticPr fontId="2"/>
  </si>
  <si>
    <t>電子化率の状況</t>
    <rPh sb="0" eb="3">
      <t>デンシカ</t>
    </rPh>
    <rPh sb="3" eb="4">
      <t>リツ</t>
    </rPh>
    <rPh sb="5" eb="7">
      <t>ジョウキョウ</t>
    </rPh>
    <phoneticPr fontId="2"/>
  </si>
  <si>
    <t>■目標とする電子化率に到達するため、御社の現在の電子化率について調査する項目です。</t>
    <rPh sb="1" eb="3">
      <t>モクヒョウ</t>
    </rPh>
    <rPh sb="6" eb="9">
      <t>デンシカ</t>
    </rPh>
    <rPh sb="9" eb="10">
      <t>リツ</t>
    </rPh>
    <rPh sb="11" eb="13">
      <t>トウタツ</t>
    </rPh>
    <rPh sb="18" eb="20">
      <t>オンシャ</t>
    </rPh>
    <rPh sb="21" eb="23">
      <t>ゲンザイ</t>
    </rPh>
    <rPh sb="24" eb="27">
      <t>デンシカ</t>
    </rPh>
    <rPh sb="27" eb="28">
      <t>リツ</t>
    </rPh>
    <rPh sb="32" eb="34">
      <t>チョウサ</t>
    </rPh>
    <rPh sb="36" eb="38">
      <t>コウモク</t>
    </rPh>
    <phoneticPr fontId="2"/>
  </si>
  <si>
    <t>現在の取引企業数は何社ありますか（事前アンケートより転載）</t>
    <rPh sb="0" eb="2">
      <t>ゲンザイ</t>
    </rPh>
    <rPh sb="3" eb="5">
      <t>トリヒキ</t>
    </rPh>
    <rPh sb="5" eb="8">
      <t>キギョウスウ</t>
    </rPh>
    <rPh sb="9" eb="11">
      <t>ナンシャ</t>
    </rPh>
    <rPh sb="17" eb="19">
      <t>ジゼン</t>
    </rPh>
    <rPh sb="26" eb="28">
      <t>テンサイ</t>
    </rPh>
    <phoneticPr fontId="2"/>
  </si>
  <si>
    <t>社/全社</t>
    <rPh sb="0" eb="1">
      <t>シャ</t>
    </rPh>
    <rPh sb="2" eb="4">
      <t>ゼンシャ</t>
    </rPh>
    <phoneticPr fontId="2"/>
  </si>
  <si>
    <t>建設業振興基金殿の情報より</t>
    <rPh sb="0" eb="3">
      <t>ケンセツギョウ</t>
    </rPh>
    <rPh sb="3" eb="5">
      <t>シンコウ</t>
    </rPh>
    <rPh sb="5" eb="7">
      <t>キキン</t>
    </rPh>
    <rPh sb="7" eb="8">
      <t>トノ</t>
    </rPh>
    <rPh sb="9" eb="11">
      <t>ジョウホウ</t>
    </rPh>
    <phoneticPr fontId="2"/>
  </si>
  <si>
    <t>既に標準企業コード取得済み企業は何社程度ありましたか</t>
    <rPh sb="0" eb="1">
      <t>スデ</t>
    </rPh>
    <rPh sb="2" eb="4">
      <t>ヒョウジュン</t>
    </rPh>
    <rPh sb="4" eb="6">
      <t>キギョウ</t>
    </rPh>
    <rPh sb="9" eb="11">
      <t>シュトク</t>
    </rPh>
    <rPh sb="11" eb="12">
      <t>ズ</t>
    </rPh>
    <rPh sb="13" eb="15">
      <t>キギョウ</t>
    </rPh>
    <rPh sb="16" eb="18">
      <t>ナンシャ</t>
    </rPh>
    <rPh sb="18" eb="20">
      <t>テイド</t>
    </rPh>
    <phoneticPr fontId="2"/>
  </si>
  <si>
    <t>社程度/全社</t>
    <rPh sb="0" eb="1">
      <t>シャ</t>
    </rPh>
    <rPh sb="1" eb="3">
      <t>テイド</t>
    </rPh>
    <rPh sb="4" eb="6">
      <t>ゼンシャ</t>
    </rPh>
    <phoneticPr fontId="2"/>
  </si>
  <si>
    <t>現在の取引先企業電子化率</t>
    <rPh sb="0" eb="2">
      <t>ゲンザイ</t>
    </rPh>
    <rPh sb="3" eb="5">
      <t>トリヒキ</t>
    </rPh>
    <rPh sb="5" eb="6">
      <t>サキ</t>
    </rPh>
    <rPh sb="6" eb="8">
      <t>キギョウ</t>
    </rPh>
    <rPh sb="8" eb="11">
      <t>デンシカ</t>
    </rPh>
    <rPh sb="11" eb="12">
      <t>リツ</t>
    </rPh>
    <phoneticPr fontId="2"/>
  </si>
  <si>
    <t>参考：主要取引先状況の算出</t>
    <rPh sb="0" eb="2">
      <t>サンコウ</t>
    </rPh>
    <rPh sb="3" eb="5">
      <t>シュヨウ</t>
    </rPh>
    <rPh sb="5" eb="7">
      <t>トリヒキ</t>
    </rPh>
    <rPh sb="7" eb="8">
      <t>サキ</t>
    </rPh>
    <rPh sb="8" eb="10">
      <t>ジョウキョウ</t>
    </rPh>
    <rPh sb="11" eb="13">
      <t>サンシュツ</t>
    </rPh>
    <phoneticPr fontId="2"/>
  </si>
  <si>
    <t>主要取引先の状況</t>
    <rPh sb="0" eb="2">
      <t>シュヨウ</t>
    </rPh>
    <rPh sb="2" eb="4">
      <t>トリヒキ</t>
    </rPh>
    <rPh sb="4" eb="5">
      <t>サキ</t>
    </rPh>
    <rPh sb="6" eb="8">
      <t>ジョウキョウ</t>
    </rPh>
    <phoneticPr fontId="2"/>
  </si>
  <si>
    <t>■主要取引先10社の年間注文件数、グループ会社の有無、取引種別、標準企業コードの有無を入力してください。
　この調査項目は、主要会社と電子商取引を行う上で、全社で何％の電子化率が期待できるかを調査する項目です。</t>
    <rPh sb="1" eb="3">
      <t>シュヨウ</t>
    </rPh>
    <rPh sb="3" eb="5">
      <t>トリヒキ</t>
    </rPh>
    <rPh sb="5" eb="6">
      <t>サキ</t>
    </rPh>
    <rPh sb="8" eb="9">
      <t>シャ</t>
    </rPh>
    <rPh sb="10" eb="12">
      <t>ネンカン</t>
    </rPh>
    <rPh sb="12" eb="14">
      <t>チュウモン</t>
    </rPh>
    <rPh sb="14" eb="16">
      <t>ケンスウ</t>
    </rPh>
    <rPh sb="21" eb="23">
      <t>ガイシャ</t>
    </rPh>
    <rPh sb="24" eb="26">
      <t>ウム</t>
    </rPh>
    <rPh sb="27" eb="29">
      <t>トリヒキ</t>
    </rPh>
    <rPh sb="29" eb="31">
      <t>シュベツ</t>
    </rPh>
    <rPh sb="32" eb="34">
      <t>ヒョウジュン</t>
    </rPh>
    <rPh sb="34" eb="36">
      <t>キギョウ</t>
    </rPh>
    <rPh sb="40" eb="42">
      <t>ウム</t>
    </rPh>
    <rPh sb="43" eb="45">
      <t>ニュウリョク</t>
    </rPh>
    <phoneticPr fontId="2"/>
  </si>
  <si>
    <t>年間の注文件数（業務量調査シートより転載）</t>
    <rPh sb="0" eb="2">
      <t>ネンカン</t>
    </rPh>
    <rPh sb="3" eb="5">
      <t>チュウモン</t>
    </rPh>
    <rPh sb="5" eb="7">
      <t>ケンスウ</t>
    </rPh>
    <rPh sb="8" eb="10">
      <t>ギョウム</t>
    </rPh>
    <rPh sb="10" eb="11">
      <t>リョウ</t>
    </rPh>
    <rPh sb="11" eb="13">
      <t>チョウサ</t>
    </rPh>
    <rPh sb="18" eb="20">
      <t>テンサイ</t>
    </rPh>
    <phoneticPr fontId="2"/>
  </si>
  <si>
    <t>連携システム年額費
※購買・注文</t>
    <rPh sb="0" eb="2">
      <t>レンケイ</t>
    </rPh>
    <rPh sb="6" eb="8">
      <t>ネンガク</t>
    </rPh>
    <rPh sb="8" eb="9">
      <t>ヒ</t>
    </rPh>
    <rPh sb="11" eb="13">
      <t>コウバイ</t>
    </rPh>
    <rPh sb="14" eb="16">
      <t>チュウモン</t>
    </rPh>
    <phoneticPr fontId="2"/>
  </si>
  <si>
    <t>連携システム年額費
※出来高・請求</t>
    <rPh sb="0" eb="2">
      <t>レンケイ</t>
    </rPh>
    <rPh sb="6" eb="8">
      <t>ネンガク</t>
    </rPh>
    <rPh sb="8" eb="9">
      <t>ヒ</t>
    </rPh>
    <rPh sb="11" eb="14">
      <t>デキダカ</t>
    </rPh>
    <rPh sb="15" eb="17">
      <t>セイキュウ</t>
    </rPh>
    <phoneticPr fontId="2"/>
  </si>
  <si>
    <t>電子化後年間費用</t>
    <rPh sb="0" eb="2">
      <t>デンシ</t>
    </rPh>
    <rPh sb="2" eb="3">
      <t>カ</t>
    </rPh>
    <rPh sb="3" eb="4">
      <t>ゴ</t>
    </rPh>
    <rPh sb="4" eb="6">
      <t>ネンカン</t>
    </rPh>
    <rPh sb="6" eb="8">
      <t>ヒヨウ</t>
    </rPh>
    <phoneticPr fontId="2"/>
  </si>
  <si>
    <t>全体（導入前）</t>
    <rPh sb="0" eb="2">
      <t>ゼンタイ</t>
    </rPh>
    <rPh sb="3" eb="5">
      <t>ドウニュウ</t>
    </rPh>
    <rPh sb="5" eb="6">
      <t>マエ</t>
    </rPh>
    <phoneticPr fontId="2"/>
  </si>
  <si>
    <t>全体（導入後）</t>
    <rPh sb="0" eb="2">
      <t>ゼンタイ</t>
    </rPh>
    <rPh sb="3" eb="5">
      <t>ドウニュウ</t>
    </rPh>
    <rPh sb="5" eb="6">
      <t>ゴ</t>
    </rPh>
    <phoneticPr fontId="2"/>
  </si>
  <si>
    <t>電子化後累計費用</t>
    <rPh sb="0" eb="2">
      <t>デンシ</t>
    </rPh>
    <rPh sb="2" eb="3">
      <t>カ</t>
    </rPh>
    <rPh sb="3" eb="4">
      <t>ゴ</t>
    </rPh>
    <rPh sb="4" eb="6">
      <t>ルイケイ</t>
    </rPh>
    <rPh sb="6" eb="8">
      <t>ヒヨウ</t>
    </rPh>
    <phoneticPr fontId="2"/>
  </si>
  <si>
    <t>累計コストメリット</t>
    <rPh sb="0" eb="2">
      <t>ルイケイ</t>
    </rPh>
    <phoneticPr fontId="2"/>
  </si>
  <si>
    <t>初期費合計</t>
    <rPh sb="0" eb="2">
      <t>ショキ</t>
    </rPh>
    <rPh sb="2" eb="3">
      <t>ヒ</t>
    </rPh>
    <rPh sb="3" eb="5">
      <t>ゴウケイ</t>
    </rPh>
    <phoneticPr fontId="2"/>
  </si>
  <si>
    <t>年額費合計</t>
    <rPh sb="0" eb="2">
      <t>ネンガク</t>
    </rPh>
    <rPh sb="2" eb="3">
      <t>ヒ</t>
    </rPh>
    <rPh sb="3" eb="5">
      <t>ゴウケイ</t>
    </rPh>
    <phoneticPr fontId="2"/>
  </si>
  <si>
    <t>件/年</t>
    <rPh sb="0" eb="1">
      <t>ケン</t>
    </rPh>
    <rPh sb="2" eb="3">
      <t>トシ</t>
    </rPh>
    <phoneticPr fontId="2"/>
  </si>
  <si>
    <t>No</t>
    <phoneticPr fontId="2"/>
  </si>
  <si>
    <t>企業名
※伏字・架空企業名でもかまいません</t>
    <rPh sb="0" eb="2">
      <t>キギョウ</t>
    </rPh>
    <rPh sb="2" eb="3">
      <t>メイ</t>
    </rPh>
    <rPh sb="5" eb="7">
      <t>フセジ</t>
    </rPh>
    <rPh sb="8" eb="10">
      <t>カクウ</t>
    </rPh>
    <rPh sb="10" eb="12">
      <t>キギョウ</t>
    </rPh>
    <rPh sb="12" eb="13">
      <t>メイ</t>
    </rPh>
    <phoneticPr fontId="2"/>
  </si>
  <si>
    <t>年間注文
件数</t>
    <rPh sb="0" eb="2">
      <t>ネンカン</t>
    </rPh>
    <rPh sb="2" eb="4">
      <t>チュウモン</t>
    </rPh>
    <rPh sb="5" eb="7">
      <t>ケンスウ</t>
    </rPh>
    <phoneticPr fontId="2"/>
  </si>
  <si>
    <t>グループ会社</t>
    <rPh sb="4" eb="6">
      <t>カイシャ</t>
    </rPh>
    <phoneticPr fontId="2"/>
  </si>
  <si>
    <t>主要取引</t>
    <rPh sb="0" eb="2">
      <t>シュヨウ</t>
    </rPh>
    <rPh sb="2" eb="4">
      <t>トリヒキ</t>
    </rPh>
    <phoneticPr fontId="2"/>
  </si>
  <si>
    <t>標準企業
コードの有無</t>
    <rPh sb="0" eb="2">
      <t>ヒョウジュン</t>
    </rPh>
    <rPh sb="2" eb="4">
      <t>キギョウ</t>
    </rPh>
    <rPh sb="9" eb="11">
      <t>ウム</t>
    </rPh>
    <phoneticPr fontId="2"/>
  </si>
  <si>
    <t>全体件数から
の割合</t>
    <rPh sb="0" eb="2">
      <t>ゼンタイ</t>
    </rPh>
    <rPh sb="2" eb="4">
      <t>ケンスウ</t>
    </rPh>
    <rPh sb="8" eb="10">
      <t>ワリアイ</t>
    </rPh>
    <phoneticPr fontId="2"/>
  </si>
  <si>
    <t>全社の年間注文件数のうち、主要取引10社の注文の占める割合</t>
    <rPh sb="0" eb="2">
      <t>ゼンシャ</t>
    </rPh>
    <rPh sb="3" eb="5">
      <t>ネンカン</t>
    </rPh>
    <rPh sb="5" eb="7">
      <t>チュウモン</t>
    </rPh>
    <rPh sb="7" eb="9">
      <t>ケンスウ</t>
    </rPh>
    <rPh sb="13" eb="15">
      <t>シュヨウ</t>
    </rPh>
    <rPh sb="15" eb="17">
      <t>トリヒキ</t>
    </rPh>
    <rPh sb="19" eb="20">
      <t>シャ</t>
    </rPh>
    <rPh sb="21" eb="23">
      <t>チュウモン</t>
    </rPh>
    <rPh sb="24" eb="25">
      <t>シ</t>
    </rPh>
    <rPh sb="27" eb="29">
      <t>ワリアイ</t>
    </rPh>
    <phoneticPr fontId="2"/>
  </si>
  <si>
    <t>導入後すぐに電子商取引が可能と予想される電子化率（標準企業コード取得済み）</t>
    <rPh sb="0" eb="2">
      <t>ドウニュウ</t>
    </rPh>
    <rPh sb="2" eb="3">
      <t>ゴ</t>
    </rPh>
    <rPh sb="6" eb="8">
      <t>デンシ</t>
    </rPh>
    <rPh sb="8" eb="9">
      <t>ショウ</t>
    </rPh>
    <rPh sb="9" eb="11">
      <t>トリヒキ</t>
    </rPh>
    <rPh sb="12" eb="14">
      <t>カノウ</t>
    </rPh>
    <rPh sb="15" eb="17">
      <t>ヨソウ</t>
    </rPh>
    <rPh sb="20" eb="23">
      <t>デンシカ</t>
    </rPh>
    <rPh sb="23" eb="24">
      <t>リツ</t>
    </rPh>
    <rPh sb="25" eb="27">
      <t>ヒョウジュン</t>
    </rPh>
    <rPh sb="27" eb="29">
      <t>キギョウ</t>
    </rPh>
    <rPh sb="32" eb="34">
      <t>シュトク</t>
    </rPh>
    <rPh sb="34" eb="35">
      <t>ズ</t>
    </rPh>
    <phoneticPr fontId="2"/>
  </si>
  <si>
    <t>主要取引先で標準企業コード未修得企業との取引の割合（導入時に企業共同推進で期待できる電子化率）</t>
    <rPh sb="0" eb="2">
      <t>シュヨウ</t>
    </rPh>
    <rPh sb="2" eb="4">
      <t>トリヒキ</t>
    </rPh>
    <rPh sb="4" eb="5">
      <t>サキ</t>
    </rPh>
    <rPh sb="6" eb="8">
      <t>ヒョウジュン</t>
    </rPh>
    <rPh sb="8" eb="10">
      <t>キギョウ</t>
    </rPh>
    <rPh sb="13" eb="14">
      <t>ミ</t>
    </rPh>
    <rPh sb="14" eb="16">
      <t>シュウトク</t>
    </rPh>
    <rPh sb="16" eb="18">
      <t>キギョウ</t>
    </rPh>
    <rPh sb="20" eb="22">
      <t>トリヒキ</t>
    </rPh>
    <rPh sb="23" eb="25">
      <t>ワリアイ</t>
    </rPh>
    <rPh sb="26" eb="28">
      <t>ドウニュウ</t>
    </rPh>
    <rPh sb="28" eb="29">
      <t>ジ</t>
    </rPh>
    <rPh sb="30" eb="32">
      <t>キギョウ</t>
    </rPh>
    <rPh sb="32" eb="34">
      <t>キョウドウ</t>
    </rPh>
    <rPh sb="34" eb="36">
      <t>スイシン</t>
    </rPh>
    <rPh sb="37" eb="39">
      <t>キタイ</t>
    </rPh>
    <rPh sb="42" eb="45">
      <t>デンシカ</t>
    </rPh>
    <rPh sb="45" eb="46">
      <t>リツ</t>
    </rPh>
    <phoneticPr fontId="2"/>
  </si>
  <si>
    <t>郵送
（一般封筒）</t>
    <rPh sb="0" eb="2">
      <t>ユウソウ</t>
    </rPh>
    <rPh sb="4" eb="6">
      <t>イッパン</t>
    </rPh>
    <rPh sb="6" eb="8">
      <t>フウトウ</t>
    </rPh>
    <phoneticPr fontId="2"/>
  </si>
  <si>
    <t>郵便
（書留等）</t>
    <rPh sb="0" eb="2">
      <t>ユウビン</t>
    </rPh>
    <rPh sb="4" eb="6">
      <t>カキトメ</t>
    </rPh>
    <rPh sb="6" eb="7">
      <t>トウ</t>
    </rPh>
    <phoneticPr fontId="2"/>
  </si>
  <si>
    <t>取引先へ
持ち込み</t>
    <rPh sb="0" eb="2">
      <t>トリヒキ</t>
    </rPh>
    <rPh sb="2" eb="3">
      <t>サキ</t>
    </rPh>
    <rPh sb="5" eb="6">
      <t>モ</t>
    </rPh>
    <rPh sb="7" eb="8">
      <t>コ</t>
    </rPh>
    <phoneticPr fontId="2"/>
  </si>
  <si>
    <t>取引先が
持ち帰り</t>
    <rPh sb="0" eb="2">
      <t>トリヒキ</t>
    </rPh>
    <rPh sb="2" eb="3">
      <t>サキ</t>
    </rPh>
    <rPh sb="5" eb="6">
      <t>モ</t>
    </rPh>
    <rPh sb="7" eb="8">
      <t>カエ</t>
    </rPh>
    <phoneticPr fontId="2"/>
  </si>
  <si>
    <t>見積依頼の作成時間
（現業務調査シートより平均時間を参照）</t>
    <rPh sb="0" eb="2">
      <t>ミツモリ</t>
    </rPh>
    <rPh sb="2" eb="4">
      <t>イライ</t>
    </rPh>
    <rPh sb="5" eb="7">
      <t>サクセイ</t>
    </rPh>
    <rPh sb="7" eb="9">
      <t>ジカン</t>
    </rPh>
    <rPh sb="11" eb="12">
      <t>ゲン</t>
    </rPh>
    <rPh sb="12" eb="14">
      <t>ギョウム</t>
    </rPh>
    <rPh sb="14" eb="16">
      <t>チョウサ</t>
    </rPh>
    <rPh sb="21" eb="23">
      <t>ヘイキン</t>
    </rPh>
    <rPh sb="23" eb="25">
      <t>ジカン</t>
    </rPh>
    <rPh sb="26" eb="28">
      <t>サンショウ</t>
    </rPh>
    <phoneticPr fontId="2"/>
  </si>
  <si>
    <t>1契約に対して発生する作業時間</t>
    <rPh sb="1" eb="3">
      <t>ケイヤク</t>
    </rPh>
    <rPh sb="4" eb="5">
      <t>タイ</t>
    </rPh>
    <rPh sb="7" eb="9">
      <t>ハッセイ</t>
    </rPh>
    <rPh sb="11" eb="13">
      <t>サギョウ</t>
    </rPh>
    <rPh sb="13" eb="15">
      <t>ジカン</t>
    </rPh>
    <phoneticPr fontId="2"/>
  </si>
  <si>
    <t>1契約あたりの平均作業時間</t>
    <rPh sb="1" eb="3">
      <t>ケイヤク</t>
    </rPh>
    <rPh sb="7" eb="9">
      <t>ヘイキン</t>
    </rPh>
    <rPh sb="9" eb="11">
      <t>サギョウ</t>
    </rPh>
    <rPh sb="11" eb="13">
      <t>ジカン</t>
    </rPh>
    <phoneticPr fontId="2"/>
  </si>
  <si>
    <t>1契約あたりの平均作業コスト</t>
    <rPh sb="1" eb="3">
      <t>ケイヤク</t>
    </rPh>
    <rPh sb="7" eb="9">
      <t>ヘイキン</t>
    </rPh>
    <rPh sb="9" eb="11">
      <t>サギョウ</t>
    </rPh>
    <phoneticPr fontId="2"/>
  </si>
  <si>
    <t>年間注文件数</t>
    <rPh sb="0" eb="2">
      <t>ネンカン</t>
    </rPh>
    <rPh sb="2" eb="4">
      <t>チュウモン</t>
    </rPh>
    <rPh sb="4" eb="6">
      <t>ケンスウ</t>
    </rPh>
    <phoneticPr fontId="2"/>
  </si>
  <si>
    <t>担当者移動時間（往復）
※45分を想定</t>
    <rPh sb="0" eb="3">
      <t>タントウシャ</t>
    </rPh>
    <rPh sb="3" eb="5">
      <t>イドウ</t>
    </rPh>
    <rPh sb="5" eb="7">
      <t>ジカン</t>
    </rPh>
    <rPh sb="8" eb="10">
      <t>オウフク</t>
    </rPh>
    <rPh sb="15" eb="16">
      <t>フン</t>
    </rPh>
    <rPh sb="17" eb="19">
      <t>ソウテイ</t>
    </rPh>
    <phoneticPr fontId="2"/>
  </si>
  <si>
    <t>封書・宛名書き
※3分を想定</t>
    <rPh sb="0" eb="2">
      <t>フウショ</t>
    </rPh>
    <rPh sb="3" eb="5">
      <t>アテナ</t>
    </rPh>
    <rPh sb="5" eb="6">
      <t>カ</t>
    </rPh>
    <rPh sb="10" eb="11">
      <t>フン</t>
    </rPh>
    <rPh sb="12" eb="14">
      <t>ソウテイ</t>
    </rPh>
    <phoneticPr fontId="2"/>
  </si>
  <si>
    <t>1見積に対して発生する作業時間</t>
    <rPh sb="1" eb="3">
      <t>ミツ</t>
    </rPh>
    <rPh sb="4" eb="5">
      <t>タイ</t>
    </rPh>
    <rPh sb="7" eb="9">
      <t>ハッセイ</t>
    </rPh>
    <rPh sb="11" eb="13">
      <t>サギョウ</t>
    </rPh>
    <rPh sb="13" eb="15">
      <t>ジカン</t>
    </rPh>
    <phoneticPr fontId="2"/>
  </si>
  <si>
    <t>書類枚数
（現業務調査シートの鑑、明細情報、その他見積もりに係る枚数の合計を参照）</t>
    <rPh sb="0" eb="2">
      <t>ショルイ</t>
    </rPh>
    <rPh sb="2" eb="4">
      <t>マイスウ</t>
    </rPh>
    <rPh sb="6" eb="7">
      <t>ウツツ</t>
    </rPh>
    <rPh sb="7" eb="9">
      <t>ギョウム</t>
    </rPh>
    <rPh sb="9" eb="11">
      <t>チョウサ</t>
    </rPh>
    <rPh sb="15" eb="16">
      <t>カガミ</t>
    </rPh>
    <rPh sb="17" eb="19">
      <t>メイサイ</t>
    </rPh>
    <rPh sb="19" eb="21">
      <t>ジョウホウ</t>
    </rPh>
    <rPh sb="24" eb="25">
      <t>タ</t>
    </rPh>
    <rPh sb="25" eb="27">
      <t>ミツ</t>
    </rPh>
    <rPh sb="30" eb="31">
      <t>カカ</t>
    </rPh>
    <rPh sb="32" eb="34">
      <t>マイスウ</t>
    </rPh>
    <rPh sb="35" eb="37">
      <t>ゴウケイ</t>
    </rPh>
    <rPh sb="38" eb="40">
      <t>サンショウ</t>
    </rPh>
    <phoneticPr fontId="2"/>
  </si>
  <si>
    <t>　　　　　　　　：作業時間の想定値</t>
    <rPh sb="9" eb="11">
      <t>サギョウ</t>
    </rPh>
    <rPh sb="11" eb="13">
      <t>ジカン</t>
    </rPh>
    <rPh sb="14" eb="16">
      <t>ソウテイ</t>
    </rPh>
    <rPh sb="16" eb="17">
      <t>アタイ</t>
    </rPh>
    <phoneticPr fontId="2"/>
  </si>
  <si>
    <t>　　　　　　　　：作業時間の入力値</t>
    <rPh sb="9" eb="11">
      <t>サギョウ</t>
    </rPh>
    <rPh sb="11" eb="13">
      <t>ジカン</t>
    </rPh>
    <rPh sb="14" eb="16">
      <t>ニュウリョク</t>
    </rPh>
    <rPh sb="16" eb="17">
      <t>アタイ</t>
    </rPh>
    <phoneticPr fontId="2"/>
  </si>
  <si>
    <t>　　　　　　　　：経費の想定値</t>
    <rPh sb="9" eb="11">
      <t>ケイヒ</t>
    </rPh>
    <rPh sb="12" eb="14">
      <t>ソウテイ</t>
    </rPh>
    <rPh sb="14" eb="15">
      <t>アタイ</t>
    </rPh>
    <phoneticPr fontId="2"/>
  </si>
  <si>
    <t>見積依頼書の印刷代
※2.6円/枚（白黒印刷）を想定</t>
    <rPh sb="0" eb="2">
      <t>ミツモリ</t>
    </rPh>
    <rPh sb="2" eb="4">
      <t>イライ</t>
    </rPh>
    <rPh sb="4" eb="5">
      <t>ショ</t>
    </rPh>
    <rPh sb="6" eb="8">
      <t>インサツ</t>
    </rPh>
    <rPh sb="8" eb="9">
      <t>ダイ</t>
    </rPh>
    <rPh sb="14" eb="15">
      <t>エン</t>
    </rPh>
    <rPh sb="16" eb="17">
      <t>マイ</t>
    </rPh>
    <rPh sb="18" eb="20">
      <t>シロクロ</t>
    </rPh>
    <rPh sb="20" eb="22">
      <t>インサツ</t>
    </rPh>
    <rPh sb="24" eb="26">
      <t>ソウテイ</t>
    </rPh>
    <phoneticPr fontId="2"/>
  </si>
  <si>
    <t>FAX通信費
※10円/15枚を想定</t>
    <rPh sb="3" eb="6">
      <t>ツウシンヒ</t>
    </rPh>
    <rPh sb="10" eb="11">
      <t>エン</t>
    </rPh>
    <rPh sb="14" eb="15">
      <t>マイ</t>
    </rPh>
    <rPh sb="16" eb="18">
      <t>ソウテイ</t>
    </rPh>
    <phoneticPr fontId="2"/>
  </si>
  <si>
    <t>郵送料
※定形外：120円/個、簡易書留：420円/個</t>
    <rPh sb="0" eb="3">
      <t>ユウソウリョウ</t>
    </rPh>
    <rPh sb="5" eb="8">
      <t>テイケイガイ</t>
    </rPh>
    <rPh sb="12" eb="13">
      <t>エン</t>
    </rPh>
    <rPh sb="14" eb="15">
      <t>コ</t>
    </rPh>
    <rPh sb="16" eb="18">
      <t>カンイ</t>
    </rPh>
    <rPh sb="18" eb="20">
      <t>カキトメ</t>
    </rPh>
    <rPh sb="24" eb="25">
      <t>エン</t>
    </rPh>
    <rPh sb="26" eb="27">
      <t>コ</t>
    </rPh>
    <phoneticPr fontId="2"/>
  </si>
  <si>
    <t>交通費　往復
※片道200円平均を想定</t>
    <rPh sb="0" eb="3">
      <t>コウツウヒ</t>
    </rPh>
    <rPh sb="4" eb="6">
      <t>オウフク</t>
    </rPh>
    <rPh sb="8" eb="10">
      <t>カタミチ</t>
    </rPh>
    <rPh sb="13" eb="14">
      <t>エン</t>
    </rPh>
    <rPh sb="14" eb="16">
      <t>ヘイキン</t>
    </rPh>
    <rPh sb="17" eb="19">
      <t>ソウテイ</t>
    </rPh>
    <phoneticPr fontId="2"/>
  </si>
  <si>
    <t>1見積辺りの平均経費</t>
    <rPh sb="1" eb="3">
      <t>ミツモリ</t>
    </rPh>
    <rPh sb="3" eb="4">
      <t>アタ</t>
    </rPh>
    <rPh sb="6" eb="8">
      <t>ヘイキン</t>
    </rPh>
    <rPh sb="8" eb="10">
      <t>ケイヒ</t>
    </rPh>
    <phoneticPr fontId="2"/>
  </si>
  <si>
    <t>1契約あたりの平均作業経費</t>
    <rPh sb="1" eb="3">
      <t>ケイヤク</t>
    </rPh>
    <rPh sb="7" eb="9">
      <t>ヘイキン</t>
    </rPh>
    <rPh sb="9" eb="11">
      <t>サギョウ</t>
    </rPh>
    <rPh sb="11" eb="13">
      <t>ケイヒ</t>
    </rPh>
    <phoneticPr fontId="2"/>
  </si>
  <si>
    <t>年間見積件数</t>
    <rPh sb="0" eb="2">
      <t>ネンカン</t>
    </rPh>
    <rPh sb="2" eb="4">
      <t>ミツモリ</t>
    </rPh>
    <rPh sb="4" eb="6">
      <t>ケンスウ</t>
    </rPh>
    <phoneticPr fontId="2"/>
  </si>
  <si>
    <t>見積の年間コスト</t>
    <rPh sb="0" eb="2">
      <t>ミツモリ</t>
    </rPh>
    <rPh sb="3" eb="5">
      <t>ネンカン</t>
    </rPh>
    <phoneticPr fontId="2"/>
  </si>
  <si>
    <t>見積の年間の総コスト</t>
    <rPh sb="0" eb="2">
      <t>ミツモリ</t>
    </rPh>
    <rPh sb="3" eb="5">
      <t>ネンカン</t>
    </rPh>
    <rPh sb="6" eb="7">
      <t>ソウ</t>
    </rPh>
    <phoneticPr fontId="2"/>
  </si>
  <si>
    <t>購買見積回答・見積比較</t>
    <rPh sb="0" eb="2">
      <t>コウバイ</t>
    </rPh>
    <rPh sb="2" eb="4">
      <t>ミツモ</t>
    </rPh>
    <rPh sb="4" eb="6">
      <t>カイトウ</t>
    </rPh>
    <rPh sb="7" eb="9">
      <t>ミツモリ</t>
    </rPh>
    <rPh sb="9" eb="11">
      <t>ヒカク</t>
    </rPh>
    <phoneticPr fontId="2"/>
  </si>
  <si>
    <t>1契約辺りの平均作業時間コスト</t>
    <rPh sb="1" eb="3">
      <t>ケイヤク</t>
    </rPh>
    <rPh sb="3" eb="4">
      <t>アタ</t>
    </rPh>
    <rPh sb="6" eb="8">
      <t>ヘイキン</t>
    </rPh>
    <rPh sb="8" eb="10">
      <t>サギョウ</t>
    </rPh>
    <rPh sb="10" eb="12">
      <t>ジカン</t>
    </rPh>
    <phoneticPr fontId="2"/>
  </si>
  <si>
    <t>見積回答書の内容確認
※1社5分を想定</t>
    <rPh sb="0" eb="2">
      <t>ミツモリ</t>
    </rPh>
    <rPh sb="2" eb="4">
      <t>カイトウ</t>
    </rPh>
    <rPh sb="4" eb="5">
      <t>ショ</t>
    </rPh>
    <rPh sb="6" eb="8">
      <t>ナイヨウ</t>
    </rPh>
    <rPh sb="8" eb="10">
      <t>カクニン</t>
    </rPh>
    <rPh sb="13" eb="14">
      <t>シャ</t>
    </rPh>
    <rPh sb="15" eb="16">
      <t>フン</t>
    </rPh>
    <rPh sb="17" eb="19">
      <t>ソウテイ</t>
    </rPh>
    <phoneticPr fontId="2"/>
  </si>
  <si>
    <t>見積回答書受け取り
※1社1分を想定</t>
    <rPh sb="0" eb="2">
      <t>ミツモリ</t>
    </rPh>
    <rPh sb="2" eb="4">
      <t>カイトウ</t>
    </rPh>
    <rPh sb="4" eb="5">
      <t>ショ</t>
    </rPh>
    <rPh sb="5" eb="6">
      <t>ウ</t>
    </rPh>
    <rPh sb="7" eb="8">
      <t>ト</t>
    </rPh>
    <rPh sb="12" eb="13">
      <t>シャ</t>
    </rPh>
    <rPh sb="14" eb="15">
      <t>フン</t>
    </rPh>
    <rPh sb="16" eb="18">
      <t>ソウテイ</t>
    </rPh>
    <phoneticPr fontId="2"/>
  </si>
  <si>
    <r>
      <t>電子化率（購買～注文）　　　</t>
    </r>
    <r>
      <rPr>
        <b/>
        <sz val="14"/>
        <color indexed="10"/>
        <rFont val="ＭＳ Ｐゴシック"/>
        <family val="3"/>
        <charset val="128"/>
      </rPr>
      <t>※１</t>
    </r>
    <rPh sb="0" eb="3">
      <t>デンシカ</t>
    </rPh>
    <rPh sb="3" eb="4">
      <t>リツ</t>
    </rPh>
    <rPh sb="5" eb="7">
      <t>コウバイ</t>
    </rPh>
    <rPh sb="8" eb="10">
      <t>チュウモン</t>
    </rPh>
    <phoneticPr fontId="2"/>
  </si>
  <si>
    <r>
      <t>電子化率（出来高～請求） 　</t>
    </r>
    <r>
      <rPr>
        <b/>
        <sz val="14"/>
        <color indexed="10"/>
        <rFont val="ＭＳ Ｐゴシック"/>
        <family val="3"/>
        <charset val="128"/>
      </rPr>
      <t>※１</t>
    </r>
    <rPh sb="0" eb="3">
      <t>デンシカ</t>
    </rPh>
    <rPh sb="3" eb="4">
      <t>リツ</t>
    </rPh>
    <rPh sb="5" eb="8">
      <t>デキダカ</t>
    </rPh>
    <rPh sb="9" eb="11">
      <t>１１０４</t>
    </rPh>
    <phoneticPr fontId="2"/>
  </si>
  <si>
    <t>紙・FAXなどの
紙媒体</t>
    <rPh sb="0" eb="1">
      <t>カミ</t>
    </rPh>
    <rPh sb="9" eb="10">
      <t>カミ</t>
    </rPh>
    <rPh sb="10" eb="12">
      <t>バイタイ</t>
    </rPh>
    <phoneticPr fontId="2"/>
  </si>
  <si>
    <t>表計算・電子メールなどの電子媒体</t>
    <rPh sb="0" eb="3">
      <t>ヒョウケイサン</t>
    </rPh>
    <rPh sb="4" eb="6">
      <t>デンシ</t>
    </rPh>
    <rPh sb="12" eb="14">
      <t>デンシ</t>
    </rPh>
    <rPh sb="14" eb="16">
      <t>バイタイ</t>
    </rPh>
    <phoneticPr fontId="2"/>
  </si>
  <si>
    <t>購買・注文導入年</t>
    <rPh sb="0" eb="2">
      <t>コウバイ</t>
    </rPh>
    <rPh sb="3" eb="5">
      <t>チュウモン</t>
    </rPh>
    <rPh sb="5" eb="7">
      <t>ドウニュウ</t>
    </rPh>
    <rPh sb="7" eb="8">
      <t>ネン</t>
    </rPh>
    <phoneticPr fontId="2"/>
  </si>
  <si>
    <t>出来高・請求導入年</t>
    <rPh sb="0" eb="3">
      <t>デキダカ</t>
    </rPh>
    <rPh sb="4" eb="6">
      <t>１１０４</t>
    </rPh>
    <rPh sb="6" eb="8">
      <t>ドウニュウ</t>
    </rPh>
    <rPh sb="8" eb="9">
      <t>ネン</t>
    </rPh>
    <phoneticPr fontId="2"/>
  </si>
  <si>
    <t>年後</t>
    <rPh sb="0" eb="1">
      <t>ネン</t>
    </rPh>
    <rPh sb="1" eb="2">
      <t>ゴ</t>
    </rPh>
    <phoneticPr fontId="2"/>
  </si>
  <si>
    <t>新システム社内教育費（購買）
初期費</t>
    <rPh sb="0" eb="1">
      <t>シン</t>
    </rPh>
    <rPh sb="5" eb="7">
      <t>シャナイ</t>
    </rPh>
    <rPh sb="7" eb="10">
      <t>キョウイクヒ</t>
    </rPh>
    <rPh sb="11" eb="13">
      <t>コウバイ</t>
    </rPh>
    <rPh sb="15" eb="17">
      <t>ショキ</t>
    </rPh>
    <rPh sb="17" eb="18">
      <t>ヒ</t>
    </rPh>
    <phoneticPr fontId="2"/>
  </si>
  <si>
    <t>新システム社内教育費（出来高）
初期費</t>
    <rPh sb="0" eb="1">
      <t>シン</t>
    </rPh>
    <rPh sb="5" eb="7">
      <t>シャナイ</t>
    </rPh>
    <rPh sb="7" eb="10">
      <t>キョウイクヒ</t>
    </rPh>
    <rPh sb="11" eb="14">
      <t>デキダカ</t>
    </rPh>
    <rPh sb="16" eb="18">
      <t>ショキ</t>
    </rPh>
    <rPh sb="18" eb="19">
      <t>ヒ</t>
    </rPh>
    <phoneticPr fontId="2"/>
  </si>
  <si>
    <t>新システム業務教育費（購買）
初期費</t>
    <rPh sb="0" eb="1">
      <t>シン</t>
    </rPh>
    <rPh sb="5" eb="7">
      <t>ギョウム</t>
    </rPh>
    <rPh sb="7" eb="10">
      <t>キョウイクヒ</t>
    </rPh>
    <rPh sb="11" eb="13">
      <t>コウバイ</t>
    </rPh>
    <rPh sb="15" eb="17">
      <t>ショキ</t>
    </rPh>
    <rPh sb="17" eb="18">
      <t>ヒ</t>
    </rPh>
    <phoneticPr fontId="2"/>
  </si>
  <si>
    <t>新システム業務教育費（出来高）
初期費</t>
    <rPh sb="0" eb="1">
      <t>シン</t>
    </rPh>
    <rPh sb="5" eb="7">
      <t>ギョウム</t>
    </rPh>
    <rPh sb="7" eb="10">
      <t>キョウイクヒ</t>
    </rPh>
    <rPh sb="11" eb="14">
      <t>デキダカ</t>
    </rPh>
    <rPh sb="16" eb="18">
      <t>ショキ</t>
    </rPh>
    <rPh sb="18" eb="19">
      <t>ヒ</t>
    </rPh>
    <phoneticPr fontId="2"/>
  </si>
  <si>
    <t>年額費計</t>
    <rPh sb="0" eb="2">
      <t>ネンガク</t>
    </rPh>
    <rPh sb="2" eb="3">
      <t>ヒ</t>
    </rPh>
    <rPh sb="3" eb="4">
      <t>ケイ</t>
    </rPh>
    <phoneticPr fontId="2"/>
  </si>
  <si>
    <t>（単位：千円）</t>
    <rPh sb="1" eb="3">
      <t>タンイ</t>
    </rPh>
    <rPh sb="4" eb="6">
      <t>センエン</t>
    </rPh>
    <phoneticPr fontId="2"/>
  </si>
  <si>
    <t>購買年表フラグ</t>
    <rPh sb="0" eb="2">
      <t>コウバイ</t>
    </rPh>
    <rPh sb="2" eb="3">
      <t>ネン</t>
    </rPh>
    <rPh sb="3" eb="4">
      <t>ヒョウ</t>
    </rPh>
    <phoneticPr fontId="2"/>
  </si>
  <si>
    <t>出来高年表フラグ</t>
    <rPh sb="0" eb="3">
      <t>デキダカ</t>
    </rPh>
    <rPh sb="3" eb="5">
      <t>ネンピョウ</t>
    </rPh>
    <phoneticPr fontId="2"/>
  </si>
  <si>
    <t>1見積に対して発生する作業時間</t>
    <rPh sb="1" eb="3">
      <t>ミツモリ</t>
    </rPh>
    <rPh sb="4" eb="5">
      <t>タイ</t>
    </rPh>
    <rPh sb="7" eb="9">
      <t>ハッセイ</t>
    </rPh>
    <rPh sb="11" eb="13">
      <t>サギョウ</t>
    </rPh>
    <rPh sb="13" eb="15">
      <t>ジカン</t>
    </rPh>
    <phoneticPr fontId="2"/>
  </si>
  <si>
    <t>1見積辺りの平均作業時間コスト</t>
    <rPh sb="3" eb="4">
      <t>アタ</t>
    </rPh>
    <rPh sb="6" eb="8">
      <t>ヘイキン</t>
    </rPh>
    <rPh sb="8" eb="10">
      <t>サギョウ</t>
    </rPh>
    <rPh sb="10" eb="12">
      <t>ジカン</t>
    </rPh>
    <phoneticPr fontId="2"/>
  </si>
  <si>
    <t>注文書保管（作業所）
※3分を想定</t>
    <rPh sb="0" eb="3">
      <t>チュウモンショ</t>
    </rPh>
    <rPh sb="3" eb="5">
      <t>ホカン</t>
    </rPh>
    <rPh sb="6" eb="8">
      <t>サギョウ</t>
    </rPh>
    <rPh sb="8" eb="9">
      <t>ショ</t>
    </rPh>
    <rPh sb="13" eb="14">
      <t>フン</t>
    </rPh>
    <rPh sb="15" eb="17">
      <t>ソウテイ</t>
    </rPh>
    <phoneticPr fontId="2"/>
  </si>
  <si>
    <t>注文書保管（本社・支社）
※3分を想定</t>
    <rPh sb="0" eb="3">
      <t>チュウモンショ</t>
    </rPh>
    <rPh sb="3" eb="5">
      <t>ホカン</t>
    </rPh>
    <rPh sb="6" eb="8">
      <t>ホンシャ</t>
    </rPh>
    <rPh sb="9" eb="11">
      <t>シシャ</t>
    </rPh>
    <rPh sb="15" eb="16">
      <t>フン</t>
    </rPh>
    <rPh sb="17" eb="19">
      <t>ソウテイ</t>
    </rPh>
    <phoneticPr fontId="2"/>
  </si>
  <si>
    <t>封書・宛名書き（作業所へ送付）
※3分を想定</t>
    <rPh sb="0" eb="2">
      <t>フウショ</t>
    </rPh>
    <rPh sb="3" eb="6">
      <t>アテナガ</t>
    </rPh>
    <rPh sb="8" eb="10">
      <t>サギョウ</t>
    </rPh>
    <rPh sb="10" eb="11">
      <t>ショ</t>
    </rPh>
    <rPh sb="12" eb="14">
      <t>ソウフ</t>
    </rPh>
    <rPh sb="18" eb="19">
      <t>フン</t>
    </rPh>
    <rPh sb="20" eb="22">
      <t>ソウテイ</t>
    </rPh>
    <phoneticPr fontId="2"/>
  </si>
  <si>
    <t>郵送料（作業所へ送付）
※定形外：120円/個、簡易書留：420円/個</t>
    <rPh sb="0" eb="3">
      <t>ユウソウリョウ</t>
    </rPh>
    <rPh sb="4" eb="6">
      <t>サギョウ</t>
    </rPh>
    <rPh sb="6" eb="7">
      <t>ショ</t>
    </rPh>
    <rPh sb="8" eb="10">
      <t>ソウフ</t>
    </rPh>
    <rPh sb="13" eb="16">
      <t>テイケイガイ</t>
    </rPh>
    <rPh sb="20" eb="21">
      <t>エン</t>
    </rPh>
    <rPh sb="22" eb="23">
      <t>コ</t>
    </rPh>
    <rPh sb="24" eb="26">
      <t>カンイ</t>
    </rPh>
    <rPh sb="26" eb="28">
      <t>カキトメ</t>
    </rPh>
    <rPh sb="32" eb="33">
      <t>エン</t>
    </rPh>
    <rPh sb="34" eb="35">
      <t>コ</t>
    </rPh>
    <phoneticPr fontId="2"/>
  </si>
  <si>
    <t>交通費　往復（作業所との往復）
※片道200円平均を想定</t>
    <rPh sb="0" eb="3">
      <t>コウツウヒ</t>
    </rPh>
    <rPh sb="4" eb="6">
      <t>オウフク</t>
    </rPh>
    <rPh sb="7" eb="9">
      <t>サギョウ</t>
    </rPh>
    <rPh sb="9" eb="10">
      <t>ショ</t>
    </rPh>
    <rPh sb="12" eb="14">
      <t>オウフク</t>
    </rPh>
    <rPh sb="17" eb="19">
      <t>カタミチ</t>
    </rPh>
    <rPh sb="22" eb="23">
      <t>エン</t>
    </rPh>
    <rPh sb="23" eb="25">
      <t>ヘイキン</t>
    </rPh>
    <rPh sb="26" eb="28">
      <t>ソウテイ</t>
    </rPh>
    <phoneticPr fontId="2"/>
  </si>
  <si>
    <t>取引先からの入手手段</t>
    <rPh sb="0" eb="2">
      <t>トリヒキ</t>
    </rPh>
    <rPh sb="2" eb="3">
      <t>サキ</t>
    </rPh>
    <rPh sb="6" eb="8">
      <t>ニュウシュ</t>
    </rPh>
    <rPh sb="8" eb="10">
      <t>シュダン</t>
    </rPh>
    <phoneticPr fontId="2"/>
  </si>
  <si>
    <t>取引先からの入手形式</t>
    <rPh sb="0" eb="2">
      <t>トリヒキ</t>
    </rPh>
    <rPh sb="2" eb="3">
      <t>サキ</t>
    </rPh>
    <rPh sb="6" eb="8">
      <t>ニュウシュ</t>
    </rPh>
    <rPh sb="8" eb="10">
      <t>ケイシキ</t>
    </rPh>
    <phoneticPr fontId="2"/>
  </si>
  <si>
    <t>注文書の年間コスト</t>
    <rPh sb="2" eb="3">
      <t>ショ</t>
    </rPh>
    <rPh sb="4" eb="6">
      <t>ネンカン</t>
    </rPh>
    <phoneticPr fontId="2"/>
  </si>
  <si>
    <t>注文書の年間の総コスト</t>
    <rPh sb="2" eb="3">
      <t>ショ</t>
    </rPh>
    <rPh sb="4" eb="6">
      <t>ネンカン</t>
    </rPh>
    <rPh sb="7" eb="8">
      <t>ソウ</t>
    </rPh>
    <phoneticPr fontId="2"/>
  </si>
  <si>
    <t>1注文書辺りの平均作業時間コスト</t>
    <rPh sb="1" eb="4">
      <t>チュウモンショ</t>
    </rPh>
    <rPh sb="4" eb="5">
      <t>アタ</t>
    </rPh>
    <rPh sb="7" eb="9">
      <t>ヘイキン</t>
    </rPh>
    <rPh sb="9" eb="11">
      <t>サギョウ</t>
    </rPh>
    <rPh sb="11" eb="13">
      <t>ジカン</t>
    </rPh>
    <phoneticPr fontId="2"/>
  </si>
  <si>
    <t>1注文書辺りの平均経費</t>
    <rPh sb="1" eb="3">
      <t>チュウモン</t>
    </rPh>
    <rPh sb="3" eb="4">
      <t>ショ</t>
    </rPh>
    <rPh sb="4" eb="5">
      <t>アタ</t>
    </rPh>
    <rPh sb="7" eb="9">
      <t>ヘイキン</t>
    </rPh>
    <rPh sb="9" eb="11">
      <t>ケイヒ</t>
    </rPh>
    <phoneticPr fontId="2"/>
  </si>
  <si>
    <t>■作業時間のに数は、8時間を1日と計算する</t>
    <rPh sb="1" eb="3">
      <t>サギョウ</t>
    </rPh>
    <rPh sb="3" eb="5">
      <t>ジカン</t>
    </rPh>
    <rPh sb="7" eb="8">
      <t>スウ</t>
    </rPh>
    <rPh sb="11" eb="13">
      <t>ジカン</t>
    </rPh>
    <rPh sb="15" eb="16">
      <t>ニチ</t>
    </rPh>
    <rPh sb="17" eb="19">
      <t>ケイサン</t>
    </rPh>
    <phoneticPr fontId="2"/>
  </si>
  <si>
    <t>日</t>
    <rPh sb="0" eb="1">
      <t>ニチ</t>
    </rPh>
    <phoneticPr fontId="2"/>
  </si>
  <si>
    <t>日</t>
  </si>
  <si>
    <t>時間</t>
  </si>
  <si>
    <t>分</t>
  </si>
  <si>
    <t>分計</t>
    <rPh sb="0" eb="1">
      <t>フン</t>
    </rPh>
    <rPh sb="1" eb="2">
      <t>ケイ</t>
    </rPh>
    <phoneticPr fontId="2"/>
  </si>
  <si>
    <t>日時間</t>
    <rPh sb="0" eb="1">
      <t>ニチ</t>
    </rPh>
    <rPh sb="1" eb="3">
      <t>ジカン</t>
    </rPh>
    <phoneticPr fontId="2"/>
  </si>
  <si>
    <t>文字列</t>
    <rPh sb="0" eb="3">
      <t>モジレツ</t>
    </rPh>
    <phoneticPr fontId="2"/>
  </si>
  <si>
    <t>目標年後</t>
    <rPh sb="0" eb="2">
      <t>モクヒョウ</t>
    </rPh>
    <rPh sb="2" eb="3">
      <t>ネン</t>
    </rPh>
    <rPh sb="3" eb="4">
      <t>ゴ</t>
    </rPh>
    <phoneticPr fontId="2"/>
  </si>
  <si>
    <t>現状</t>
    <rPh sb="0" eb="2">
      <t>ゲンジョウ</t>
    </rPh>
    <phoneticPr fontId="2"/>
  </si>
  <si>
    <t>枠付きセルは、業務量調査シートの平均値、確認時間を抜粋しています。</t>
    <rPh sb="0" eb="1">
      <t>ワク</t>
    </rPh>
    <rPh sb="1" eb="2">
      <t>ツ</t>
    </rPh>
    <rPh sb="7" eb="9">
      <t>ギョウム</t>
    </rPh>
    <rPh sb="9" eb="10">
      <t>リョウ</t>
    </rPh>
    <rPh sb="10" eb="12">
      <t>チョウサ</t>
    </rPh>
    <rPh sb="16" eb="19">
      <t>ヘイキンチ</t>
    </rPh>
    <rPh sb="20" eb="22">
      <t>カクニン</t>
    </rPh>
    <rPh sb="22" eb="24">
      <t>ジカン</t>
    </rPh>
    <rPh sb="25" eb="27">
      <t>バッスイ</t>
    </rPh>
    <phoneticPr fontId="2"/>
  </si>
  <si>
    <t>枠付きセルは情報転載や自動計算されますが、御社の実運用状況に近い値を上書きしていただいてもかまいません。</t>
    <rPh sb="0" eb="1">
      <t>ワク</t>
    </rPh>
    <rPh sb="1" eb="2">
      <t>ツ</t>
    </rPh>
    <rPh sb="6" eb="8">
      <t>ジョウホウ</t>
    </rPh>
    <rPh sb="8" eb="10">
      <t>テンサイ</t>
    </rPh>
    <rPh sb="11" eb="13">
      <t>ジドウ</t>
    </rPh>
    <rPh sb="13" eb="15">
      <t>ケイサン</t>
    </rPh>
    <rPh sb="21" eb="23">
      <t>オンシャ</t>
    </rPh>
    <rPh sb="24" eb="25">
      <t>ジツ</t>
    </rPh>
    <rPh sb="25" eb="27">
      <t>ウンヨウ</t>
    </rPh>
    <rPh sb="27" eb="29">
      <t>ジョウキョウ</t>
    </rPh>
    <rPh sb="30" eb="31">
      <t>チカ</t>
    </rPh>
    <rPh sb="32" eb="33">
      <t>アタイ</t>
    </rPh>
    <rPh sb="34" eb="36">
      <t>ウワガ</t>
    </rPh>
    <phoneticPr fontId="2"/>
  </si>
  <si>
    <t>○入力</t>
    <rPh sb="1" eb="3">
      <t>ニュウリョク</t>
    </rPh>
    <phoneticPr fontId="2"/>
  </si>
  <si>
    <t>白色枠内にも入力できます。</t>
    <rPh sb="0" eb="1">
      <t>シロ</t>
    </rPh>
    <rPh sb="1" eb="2">
      <t>イロ</t>
    </rPh>
    <rPh sb="2" eb="4">
      <t>ワクナイ</t>
    </rPh>
    <rPh sb="6" eb="8">
      <t>ニュウリョク</t>
    </rPh>
    <phoneticPr fontId="2"/>
  </si>
  <si>
    <t>黄色枠内に入力します。ほぼ、この入力で十分です。</t>
    <rPh sb="0" eb="2">
      <t>キイロ</t>
    </rPh>
    <rPh sb="2" eb="4">
      <t>ワクナイ</t>
    </rPh>
    <rPh sb="5" eb="7">
      <t>ニュウリョク</t>
    </rPh>
    <rPh sb="16" eb="18">
      <t>ニュウリョク</t>
    </rPh>
    <rPh sb="19" eb="21">
      <t>ジュウブン</t>
    </rPh>
    <phoneticPr fontId="2"/>
  </si>
  <si>
    <t>シートには「保護」が掛かっており、変更できないようにしています。</t>
    <rPh sb="6" eb="8">
      <t>ホゴ</t>
    </rPh>
    <rPh sb="10" eb="11">
      <t>カ</t>
    </rPh>
    <rPh sb="17" eb="19">
      <t>ヘンコウ</t>
    </rPh>
    <phoneticPr fontId="2"/>
  </si>
  <si>
    <t>●ｼﾐｭﾚｰｼｮﾝ結果を出すに当たっての、計算表です。　P000</t>
    <rPh sb="9" eb="11">
      <t>ケッカ</t>
    </rPh>
    <rPh sb="12" eb="13">
      <t>ダ</t>
    </rPh>
    <rPh sb="15" eb="16">
      <t>ア</t>
    </rPh>
    <rPh sb="21" eb="23">
      <t>ケイサン</t>
    </rPh>
    <rPh sb="23" eb="24">
      <t>ヒョウ</t>
    </rPh>
    <phoneticPr fontId="2"/>
  </si>
  <si>
    <t>←合計が100%に</t>
    <rPh sb="1" eb="3">
      <t>ゴウケイ</t>
    </rPh>
    <phoneticPr fontId="2"/>
  </si>
  <si>
    <t>なるようにしてください。</t>
    <phoneticPr fontId="2"/>
  </si>
  <si>
    <t>行/1注文</t>
    <rPh sb="0" eb="1">
      <t>ギョウ</t>
    </rPh>
    <phoneticPr fontId="2"/>
  </si>
  <si>
    <t>薄黄色枠内に入力します。より詳細に入力したい場合利用します。</t>
    <rPh sb="0" eb="1">
      <t>ウス</t>
    </rPh>
    <rPh sb="1" eb="3">
      <t>キイロ</t>
    </rPh>
    <rPh sb="3" eb="5">
      <t>ワクナイ</t>
    </rPh>
    <rPh sb="6" eb="8">
      <t>ニュウリョク</t>
    </rPh>
    <rPh sb="14" eb="16">
      <t>ショウサイ</t>
    </rPh>
    <rPh sb="17" eb="19">
      <t>ニュウリョク</t>
    </rPh>
    <rPh sb="22" eb="24">
      <t>バアイ</t>
    </rPh>
    <rPh sb="24" eb="26">
      <t>リヨウ</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</si>
</sst>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36">
    <numFmt numFmtId="5" formatCode="&quot;¥&quot;#,##0;&quot;¥&quot;\-#,##0"/>
    <numFmt numFmtId="6" formatCode="&quot;¥&quot;#,##0;[Red]&quot;¥&quot;\-#,##0"/>
    <numFmt numFmtId="7" formatCode="&quot;¥&quot;#,##0.00;&quot;¥&quot;\-#,##0.00"/>
    <numFmt numFmtId="176" formatCode="0_ "/>
    <numFmt numFmtId="177" formatCode="#,##0_ "/>
    <numFmt numFmtId="178" formatCode="0.0_ "/>
    <numFmt numFmtId="179" formatCode="0.0%"/>
    <numFmt numFmtId="180" formatCode="0&quot;分&quot;"/>
    <numFmt numFmtId="181" formatCode="0&quot;件&quot;"/>
    <numFmt numFmtId="182" formatCode="#,##0.0_ "/>
    <numFmt numFmtId="183" formatCode="0&quot;枚&quot;"/>
    <numFmt numFmtId="184" formatCode="0.0&quot;分&quot;"/>
    <numFmt numFmtId="185" formatCode="0.0_);[Red]\(0.0\)"/>
    <numFmt numFmtId="186" formatCode="#,##0_ ;[Red]\-#,##0\ "/>
    <numFmt numFmtId="187" formatCode="#,##0&quot;件&quot;"/>
    <numFmt numFmtId="188" formatCode="0&quot;箱&quot;"/>
    <numFmt numFmtId="189" formatCode="#0&quot;分&quot;"/>
    <numFmt numFmtId="190" formatCode="#0.0&quot;分&quot;"/>
    <numFmt numFmtId="191" formatCode="#0&quot;社&quot;"/>
    <numFmt numFmtId="192" formatCode="#0&quot;箱&quot;"/>
    <numFmt numFmtId="193" formatCode="#,###&quot;件&quot;"/>
    <numFmt numFmtId="194" formatCode="#,##0&quot;円&quot;"/>
    <numFmt numFmtId="197" formatCode="#0.0&quot;分&quot;;[Red]\-#0.0&quot;分&quot;"/>
    <numFmt numFmtId="199" formatCode="0&quot;円&quot;"/>
    <numFmt numFmtId="203" formatCode="@&quot; 様&quot;"/>
    <numFmt numFmtId="204" formatCode="0&quot;年後&quot;"/>
    <numFmt numFmtId="205" formatCode="0&quot;人日／初年度&quot;"/>
    <numFmt numFmtId="206" formatCode="0&quot;人日／年&quot;"/>
    <numFmt numFmtId="207" formatCode="#,##0_);[Red]\(#,##0\)"/>
    <numFmt numFmtId="218" formatCode="0_);[Red]\(0\)"/>
    <numFmt numFmtId="228" formatCode="&quot;¥&quot;#,##0.0;&quot;¥&quot;\-#,##0.0"/>
    <numFmt numFmtId="229" formatCode="&quot;¥&quot;#,##0.0;[Red]&quot;¥&quot;\-#,##0.0"/>
    <numFmt numFmtId="230" formatCode="#,##0.0&quot;円&quot;;[Red]\-#,##0.0&quot;円&quot;"/>
    <numFmt numFmtId="231" formatCode="#,##0.0&quot;分&quot;;[Red]\-#,##0.0&quot;分&quot;"/>
    <numFmt numFmtId="236" formatCode="#,##0&quot;分&quot;"/>
    <numFmt numFmtId="237" formatCode="#,##0&quot;円&quot;_ ;[Red]\-#,##0&quot;円&quot;\ "/>
  </numFmts>
  <fonts count="47">
    <font>
      <sz val="11"/>
      <name val="ＭＳ Ｐゴシック"/>
      <family val="3"/>
      <charset val="128"/>
    </font>
    <font>
      <sz val="11"/>
      <name val="ＭＳ Ｐゴシック"/>
      <family val="3"/>
      <charset val="128"/>
    </font>
    <font>
      <sz val="6"/>
      <name val="ＭＳ Ｐゴシック"/>
      <family val="3"/>
      <charset val="128"/>
    </font>
    <font>
      <sz val="10"/>
      <name val="ＭＳ Ｐ明朝"/>
      <family val="1"/>
      <charset val="128"/>
    </font>
    <font>
      <sz val="10"/>
      <name val="ＭＳ Ｐゴシック"/>
      <family val="3"/>
      <charset val="128"/>
    </font>
    <font>
      <i/>
      <sz val="11"/>
      <name val="ＭＳ Ｐゴシック"/>
      <family val="3"/>
      <charset val="128"/>
    </font>
    <font>
      <sz val="9"/>
      <name val="ＭＳ Ｐゴシック"/>
      <family val="3"/>
      <charset val="128"/>
    </font>
    <font>
      <sz val="11"/>
      <color indexed="10"/>
      <name val="ＭＳ Ｐゴシック"/>
      <family val="3"/>
      <charset val="128"/>
    </font>
    <font>
      <sz val="11"/>
      <name val="ＭＳ Ｐ明朝"/>
      <family val="1"/>
      <charset val="128"/>
    </font>
    <font>
      <b/>
      <sz val="11"/>
      <name val="ＭＳ Ｐ明朝"/>
      <family val="1"/>
      <charset val="128"/>
    </font>
    <font>
      <sz val="9"/>
      <name val="ＭＳ Ｐ明朝"/>
      <family val="1"/>
      <charset val="128"/>
    </font>
    <font>
      <sz val="16"/>
      <name val="ＭＳ Ｐ明朝"/>
      <family val="1"/>
      <charset val="128"/>
    </font>
    <font>
      <b/>
      <sz val="14"/>
      <name val="ＭＳ Ｐ明朝"/>
      <family val="1"/>
      <charset val="128"/>
    </font>
    <font>
      <b/>
      <sz val="18"/>
      <name val="ＭＳ Ｐ明朝"/>
      <family val="1"/>
      <charset val="128"/>
    </font>
    <font>
      <sz val="10"/>
      <color indexed="10"/>
      <name val="ＭＳ Ｐ明朝"/>
      <family val="1"/>
      <charset val="128"/>
    </font>
    <font>
      <b/>
      <sz val="11"/>
      <name val="ＭＳ Ｐゴシック"/>
      <family val="3"/>
      <charset val="128"/>
    </font>
    <font>
      <sz val="9"/>
      <color indexed="10"/>
      <name val="ＭＳ Ｐ明朝"/>
      <family val="1"/>
      <charset val="128"/>
    </font>
    <font>
      <b/>
      <sz val="14"/>
      <name val="ＭＳ Ｐゴシック"/>
      <family val="3"/>
      <charset val="128"/>
    </font>
    <font>
      <sz val="10"/>
      <color indexed="12"/>
      <name val="ＭＳ Ｐ明朝"/>
      <family val="1"/>
      <charset val="128"/>
    </font>
    <font>
      <b/>
      <sz val="20"/>
      <name val="ＭＳ Ｐゴシック"/>
      <family val="3"/>
      <charset val="128"/>
    </font>
    <font>
      <b/>
      <sz val="18"/>
      <name val="ＭＳ Ｐゴシック"/>
      <family val="3"/>
      <charset val="128"/>
    </font>
    <font>
      <b/>
      <sz val="16"/>
      <name val="ＭＳ Ｐゴシック"/>
      <family val="3"/>
      <charset val="128"/>
    </font>
    <font>
      <b/>
      <sz val="16"/>
      <name val="ＭＳ Ｐ明朝"/>
      <family val="1"/>
      <charset val="128"/>
    </font>
    <font>
      <b/>
      <sz val="11"/>
      <color indexed="10"/>
      <name val="ＭＳ Ｐ明朝"/>
      <family val="1"/>
      <charset val="128"/>
    </font>
    <font>
      <sz val="11"/>
      <color indexed="10"/>
      <name val="ＭＳ Ｐ明朝"/>
      <family val="1"/>
      <charset val="128"/>
    </font>
    <font>
      <b/>
      <sz val="10"/>
      <name val="ＭＳ Ｐ明朝"/>
      <family val="1"/>
      <charset val="128"/>
    </font>
    <font>
      <b/>
      <sz val="10"/>
      <color indexed="10"/>
      <name val="ＭＳ Ｐ明朝"/>
      <family val="1"/>
      <charset val="128"/>
    </font>
    <font>
      <sz val="11"/>
      <color indexed="9"/>
      <name val="ＭＳ Ｐゴシック"/>
      <family val="3"/>
      <charset val="128"/>
    </font>
    <font>
      <b/>
      <sz val="14"/>
      <color indexed="9"/>
      <name val="ＭＳ Ｐゴシック"/>
      <family val="3"/>
      <charset val="128"/>
    </font>
    <font>
      <sz val="12"/>
      <color indexed="9"/>
      <name val="ＭＳ Ｐゴシック"/>
      <family val="3"/>
      <charset val="128"/>
    </font>
    <font>
      <sz val="11"/>
      <color indexed="18"/>
      <name val="ＭＳ Ｐゴシック"/>
      <family val="3"/>
      <charset val="128"/>
    </font>
    <font>
      <b/>
      <sz val="12"/>
      <name val="ＭＳ Ｐゴシック"/>
      <family val="3"/>
      <charset val="128"/>
    </font>
    <font>
      <sz val="11"/>
      <color indexed="23"/>
      <name val="ＭＳ Ｐゴシック"/>
      <family val="3"/>
      <charset val="128"/>
    </font>
    <font>
      <sz val="12"/>
      <name val="ＭＳ Ｐゴシック"/>
      <family val="3"/>
      <charset val="128"/>
    </font>
    <font>
      <b/>
      <sz val="14"/>
      <color indexed="10"/>
      <name val="ＭＳ Ｐゴシック"/>
      <family val="3"/>
      <charset val="128"/>
    </font>
    <font>
      <sz val="10"/>
      <color indexed="9"/>
      <name val="ＭＳ Ｐゴシック"/>
      <family val="3"/>
      <charset val="128"/>
    </font>
    <font>
      <sz val="11"/>
      <color indexed="55"/>
      <name val="ＭＳ Ｐゴシック"/>
      <family val="3"/>
      <charset val="128"/>
    </font>
    <font>
      <sz val="14"/>
      <name val="ＭＳ Ｐゴシック"/>
      <family val="3"/>
      <charset val="128"/>
    </font>
    <font>
      <sz val="20"/>
      <name val="ＭＳ Ｐゴシック"/>
      <family val="3"/>
      <charset val="128"/>
    </font>
    <font>
      <b/>
      <sz val="18"/>
      <color indexed="12"/>
      <name val="ＭＳ Ｐ明朝"/>
      <family val="1"/>
      <charset val="128"/>
    </font>
    <font>
      <u/>
      <sz val="12"/>
      <name val="ＭＳ Ｐ明朝"/>
      <family val="1"/>
      <charset val="128"/>
    </font>
    <font>
      <sz val="11"/>
      <color indexed="12"/>
      <name val="ＭＳ Ｐ明朝"/>
      <family val="1"/>
      <charset val="128"/>
    </font>
    <font>
      <sz val="18"/>
      <name val="ＭＳ Ｐゴシック"/>
      <family val="3"/>
      <charset val="128"/>
    </font>
    <font>
      <sz val="16"/>
      <name val="ＭＳ Ｐゴシック"/>
      <family val="3"/>
      <charset val="128"/>
    </font>
    <font>
      <sz val="16"/>
      <color indexed="10"/>
      <name val="ＭＳ Ｐゴシック"/>
      <family val="3"/>
      <charset val="128"/>
    </font>
    <font>
      <b/>
      <sz val="14"/>
      <color indexed="12"/>
      <name val="ＭＳ Ｐゴシック"/>
      <family val="3"/>
      <charset val="128"/>
    </font>
    <font>
      <sz val="10"/>
      <color rgb="FFFF0000"/>
      <name val="ＭＳ Ｐ明朝"/>
      <family val="1"/>
      <charset val="128"/>
    </font>
  </fonts>
  <fills count="29">
    <fill>
      <patternFill patternType="none"/>
    </fill>
    <fill>
      <patternFill patternType="gray125"/>
    </fill>
    <fill>
      <patternFill patternType="solid">
        <fgColor indexed="44"/>
        <bgColor indexed="64"/>
      </patternFill>
    </fill>
    <fill>
      <patternFill patternType="solid">
        <fgColor indexed="22"/>
        <bgColor indexed="64"/>
      </patternFill>
    </fill>
    <fill>
      <patternFill patternType="solid">
        <fgColor indexed="57"/>
        <bgColor indexed="64"/>
      </patternFill>
    </fill>
    <fill>
      <patternFill patternType="solid">
        <fgColor indexed="42"/>
        <bgColor indexed="64"/>
      </patternFill>
    </fill>
    <fill>
      <patternFill patternType="solid">
        <fgColor indexed="13"/>
        <bgColor indexed="64"/>
      </patternFill>
    </fill>
    <fill>
      <patternFill patternType="solid">
        <fgColor indexed="51"/>
        <bgColor indexed="64"/>
      </patternFill>
    </fill>
    <fill>
      <patternFill patternType="solid">
        <fgColor indexed="43"/>
        <bgColor indexed="64"/>
      </patternFill>
    </fill>
    <fill>
      <patternFill patternType="solid">
        <fgColor indexed="47"/>
        <bgColor indexed="64"/>
      </patternFill>
    </fill>
    <fill>
      <patternFill patternType="solid">
        <fgColor indexed="62"/>
        <bgColor indexed="64"/>
      </patternFill>
    </fill>
    <fill>
      <patternFill patternType="solid">
        <fgColor indexed="41"/>
        <bgColor indexed="64"/>
      </patternFill>
    </fill>
    <fill>
      <patternFill patternType="solid">
        <fgColor indexed="46"/>
        <bgColor indexed="64"/>
      </patternFill>
    </fill>
    <fill>
      <patternFill patternType="solid">
        <fgColor indexed="17"/>
        <bgColor indexed="64"/>
      </patternFill>
    </fill>
    <fill>
      <patternFill patternType="solid">
        <fgColor indexed="59"/>
        <bgColor indexed="64"/>
      </patternFill>
    </fill>
    <fill>
      <patternFill patternType="solid">
        <fgColor indexed="16"/>
        <bgColor indexed="64"/>
      </patternFill>
    </fill>
    <fill>
      <patternFill patternType="solid">
        <fgColor indexed="9"/>
        <bgColor indexed="64"/>
      </patternFill>
    </fill>
    <fill>
      <patternFill patternType="solid">
        <fgColor indexed="21"/>
        <bgColor indexed="64"/>
      </patternFill>
    </fill>
    <fill>
      <patternFill patternType="solid">
        <fgColor indexed="19"/>
        <bgColor indexed="64"/>
      </patternFill>
    </fill>
    <fill>
      <patternFill patternType="solid">
        <fgColor indexed="54"/>
        <bgColor indexed="64"/>
      </patternFill>
    </fill>
    <fill>
      <patternFill patternType="solid">
        <fgColor theme="0" tint="-0.14999847407452621"/>
        <bgColor indexed="64"/>
      </patternFill>
    </fill>
    <fill>
      <patternFill patternType="solid">
        <fgColor rgb="FFFF0000"/>
        <bgColor indexed="64"/>
      </patternFill>
    </fill>
    <fill>
      <patternFill patternType="solid">
        <fgColor theme="0" tint="-0.249977111117893"/>
        <bgColor indexed="64"/>
      </patternFill>
    </fill>
    <fill>
      <patternFill patternType="solid">
        <fgColor rgb="FFFFFF00"/>
        <bgColor indexed="64"/>
      </patternFill>
    </fill>
    <fill>
      <patternFill patternType="solid">
        <fgColor rgb="FFFFFFCC"/>
        <bgColor indexed="64"/>
      </patternFill>
    </fill>
    <fill>
      <patternFill patternType="solid">
        <fgColor theme="8" tint="0.79998168889431442"/>
        <bgColor indexed="64"/>
      </patternFill>
    </fill>
    <fill>
      <patternFill patternType="solid">
        <fgColor rgb="FFFFFF99"/>
        <bgColor indexed="64"/>
      </patternFill>
    </fill>
    <fill>
      <patternFill patternType="solid">
        <fgColor rgb="FFCCFFCC"/>
        <bgColor indexed="64"/>
      </patternFill>
    </fill>
    <fill>
      <patternFill patternType="solid">
        <fgColor rgb="FFCCECFF"/>
        <bgColor indexed="64"/>
      </patternFill>
    </fill>
  </fills>
  <borders count="228">
    <border>
      <left/>
      <right/>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slantDashDot">
        <color indexed="64"/>
      </left>
      <right/>
      <top/>
      <bottom style="slantDashDot">
        <color indexed="64"/>
      </bottom>
      <diagonal/>
    </border>
    <border>
      <left/>
      <right/>
      <top/>
      <bottom style="slantDashDot">
        <color indexed="64"/>
      </bottom>
      <diagonal/>
    </border>
    <border>
      <left/>
      <right/>
      <top/>
      <bottom style="thin">
        <color indexed="23"/>
      </bottom>
      <diagonal/>
    </border>
    <border>
      <left/>
      <right/>
      <top style="thin">
        <color indexed="23"/>
      </top>
      <bottom style="thin">
        <color indexed="23"/>
      </bottom>
      <diagonal/>
    </border>
    <border>
      <left/>
      <right/>
      <top style="thin">
        <color indexed="55"/>
      </top>
      <bottom style="thin">
        <color indexed="55"/>
      </bottom>
      <diagonal/>
    </border>
    <border>
      <left style="thin">
        <color indexed="64"/>
      </left>
      <right/>
      <top style="thin">
        <color indexed="55"/>
      </top>
      <bottom style="thin">
        <color indexed="55"/>
      </bottom>
      <diagonal/>
    </border>
    <border>
      <left style="thin">
        <color indexed="64"/>
      </left>
      <right/>
      <top style="thin">
        <color indexed="55"/>
      </top>
      <bottom style="thin">
        <color indexed="64"/>
      </bottom>
      <diagonal/>
    </border>
    <border>
      <left/>
      <right/>
      <top style="thin">
        <color indexed="55"/>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23"/>
      </bottom>
      <diagonal/>
    </border>
    <border>
      <left/>
      <right style="thin">
        <color indexed="64"/>
      </right>
      <top style="thin">
        <color indexed="64"/>
      </top>
      <bottom style="thin">
        <color indexed="23"/>
      </bottom>
      <diagonal/>
    </border>
    <border>
      <left/>
      <right style="thin">
        <color indexed="64"/>
      </right>
      <top style="thin">
        <color indexed="23"/>
      </top>
      <bottom style="thin">
        <color indexed="23"/>
      </bottom>
      <diagonal/>
    </border>
    <border>
      <left style="thin">
        <color indexed="64"/>
      </left>
      <right/>
      <top style="thin">
        <color indexed="64"/>
      </top>
      <bottom style="thin">
        <color indexed="64"/>
      </bottom>
      <diagonal/>
    </border>
    <border>
      <left/>
      <right style="double">
        <color indexed="64"/>
      </right>
      <top/>
      <bottom style="thin">
        <color indexed="23"/>
      </bottom>
      <diagonal/>
    </border>
    <border>
      <left/>
      <right style="double">
        <color indexed="64"/>
      </right>
      <top style="thin">
        <color indexed="23"/>
      </top>
      <bottom style="thin">
        <color indexed="23"/>
      </bottom>
      <diagonal/>
    </border>
    <border>
      <left style="double">
        <color indexed="64"/>
      </left>
      <right/>
      <top style="thin">
        <color indexed="23"/>
      </top>
      <bottom style="thin">
        <color indexed="23"/>
      </bottom>
      <diagonal/>
    </border>
    <border>
      <left/>
      <right/>
      <top style="thin">
        <color indexed="23"/>
      </top>
      <bottom style="thin">
        <color indexed="64"/>
      </bottom>
      <diagonal/>
    </border>
    <border>
      <left/>
      <right style="thin">
        <color indexed="64"/>
      </right>
      <top style="thin">
        <color indexed="23"/>
      </top>
      <bottom style="thin">
        <color indexed="64"/>
      </bottom>
      <diagonal/>
    </border>
    <border>
      <left style="thin">
        <color indexed="64"/>
      </left>
      <right/>
      <top style="thin">
        <color indexed="64"/>
      </top>
      <bottom style="thin">
        <color indexed="55"/>
      </bottom>
      <diagonal/>
    </border>
    <border>
      <left/>
      <right/>
      <top style="thin">
        <color indexed="64"/>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23"/>
      </bottom>
      <diagonal/>
    </border>
    <border>
      <left style="thin">
        <color indexed="64"/>
      </left>
      <right/>
      <top style="thin">
        <color indexed="23"/>
      </top>
      <bottom style="thin">
        <color indexed="23"/>
      </bottom>
      <diagonal/>
    </border>
    <border>
      <left/>
      <right/>
      <top style="thin">
        <color indexed="23"/>
      </top>
      <bottom/>
      <diagonal/>
    </border>
    <border>
      <left/>
      <right/>
      <top style="slantDashDot">
        <color indexed="64"/>
      </top>
      <bottom/>
      <diagonal/>
    </border>
    <border>
      <left style="double">
        <color indexed="64"/>
      </left>
      <right/>
      <top/>
      <bottom style="thin">
        <color indexed="23"/>
      </bottom>
      <diagonal/>
    </border>
    <border>
      <left/>
      <right/>
      <top style="thin">
        <color indexed="55"/>
      </top>
      <bottom style="thin">
        <color indexed="23"/>
      </bottom>
      <diagonal/>
    </border>
    <border>
      <left/>
      <right/>
      <top style="thin">
        <color indexed="23"/>
      </top>
      <bottom style="thin">
        <color indexed="55"/>
      </bottom>
      <diagonal/>
    </border>
    <border>
      <left style="thin">
        <color indexed="64"/>
      </left>
      <right/>
      <top style="thin">
        <color indexed="55"/>
      </top>
      <bottom style="thin">
        <color indexed="23"/>
      </bottom>
      <diagonal/>
    </border>
    <border>
      <left style="thin">
        <color indexed="64"/>
      </left>
      <right/>
      <top style="thin">
        <color indexed="23"/>
      </top>
      <bottom style="thin">
        <color indexed="55"/>
      </bottom>
      <diagonal/>
    </border>
    <border>
      <left style="thin">
        <color indexed="64"/>
      </left>
      <right/>
      <top style="thin">
        <color indexed="23"/>
      </top>
      <bottom style="thin">
        <color indexed="64"/>
      </bottom>
      <diagonal/>
    </border>
    <border>
      <left/>
      <right/>
      <top/>
      <bottom style="thin">
        <color indexed="55"/>
      </bottom>
      <diagonal/>
    </border>
    <border>
      <left style="double">
        <color indexed="64"/>
      </left>
      <right/>
      <top style="thin">
        <color indexed="23"/>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bottom style="thin">
        <color indexed="23"/>
      </bottom>
      <diagonal/>
    </border>
    <border>
      <left/>
      <right style="thin">
        <color indexed="64"/>
      </right>
      <top/>
      <bottom style="thin">
        <color indexed="23"/>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bottom style="thin">
        <color indexed="55"/>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uble">
        <color indexed="64"/>
      </right>
      <top/>
      <bottom/>
      <diagonal/>
    </border>
    <border>
      <left style="double">
        <color indexed="64"/>
      </left>
      <right/>
      <top/>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style="thin">
        <color indexed="64"/>
      </right>
      <top style="thin">
        <color indexed="64"/>
      </top>
      <bottom style="hair">
        <color indexed="64"/>
      </bottom>
      <diagonal/>
    </border>
    <border>
      <left style="medium">
        <color indexed="64"/>
      </left>
      <right/>
      <top style="medium">
        <color indexed="64"/>
      </top>
      <bottom/>
      <diagonal/>
    </border>
    <border>
      <left style="double">
        <color indexed="64"/>
      </left>
      <right/>
      <top style="medium">
        <color indexed="64"/>
      </top>
      <bottom/>
      <diagonal/>
    </border>
    <border>
      <left/>
      <right style="double">
        <color indexed="64"/>
      </right>
      <top style="medium">
        <color indexed="64"/>
      </top>
      <bottom/>
      <diagonal/>
    </border>
    <border>
      <left style="double">
        <color indexed="64"/>
      </left>
      <right/>
      <top/>
      <bottom style="medium">
        <color indexed="64"/>
      </bottom>
      <diagonal/>
    </border>
    <border>
      <left/>
      <right style="double">
        <color indexed="64"/>
      </right>
      <top/>
      <bottom style="medium">
        <color indexed="64"/>
      </bottom>
      <diagonal/>
    </border>
    <border>
      <left/>
      <right/>
      <top style="hair">
        <color indexed="64"/>
      </top>
      <bottom/>
      <diagonal/>
    </border>
    <border>
      <left/>
      <right style="hair">
        <color indexed="64"/>
      </right>
      <top style="hair">
        <color indexed="64"/>
      </top>
      <bottom/>
      <diagonal/>
    </border>
    <border>
      <left/>
      <right/>
      <top/>
      <bottom style="hair">
        <color indexed="64"/>
      </bottom>
      <diagonal/>
    </border>
    <border>
      <left/>
      <right style="hair">
        <color indexed="64"/>
      </right>
      <top/>
      <bottom style="hair">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medium">
        <color indexed="64"/>
      </left>
      <right style="hair">
        <color indexed="64"/>
      </right>
      <top style="medium">
        <color indexed="64"/>
      </top>
      <bottom/>
      <diagonal/>
    </border>
    <border>
      <left style="medium">
        <color indexed="64"/>
      </left>
      <right style="hair">
        <color indexed="64"/>
      </right>
      <top/>
      <bottom/>
      <diagonal/>
    </border>
    <border>
      <left style="medium">
        <color indexed="64"/>
      </left>
      <right style="hair">
        <color indexed="64"/>
      </right>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double">
        <color indexed="64"/>
      </left>
      <right style="double">
        <color indexed="64"/>
      </right>
      <top style="double">
        <color indexed="64"/>
      </top>
      <bottom style="double">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double">
        <color indexed="64"/>
      </right>
      <top style="thin">
        <color indexed="64"/>
      </top>
      <bottom style="double">
        <color indexed="64"/>
      </bottom>
      <diagonal/>
    </border>
    <border>
      <left/>
      <right style="medium">
        <color indexed="64"/>
      </right>
      <top style="thin">
        <color indexed="64"/>
      </top>
      <bottom/>
      <diagonal/>
    </border>
    <border>
      <left style="double">
        <color indexed="64"/>
      </left>
      <right/>
      <top style="medium">
        <color indexed="64"/>
      </top>
      <bottom style="double">
        <color indexed="64"/>
      </bottom>
      <diagonal/>
    </border>
    <border>
      <left/>
      <right/>
      <top style="medium">
        <color indexed="64"/>
      </top>
      <bottom style="double">
        <color indexed="64"/>
      </bottom>
      <diagonal/>
    </border>
    <border>
      <left/>
      <right style="double">
        <color indexed="64"/>
      </right>
      <top style="medium">
        <color indexed="64"/>
      </top>
      <bottom style="double">
        <color indexed="64"/>
      </bottom>
      <diagonal/>
    </border>
    <border>
      <left style="double">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medium">
        <color indexed="64"/>
      </left>
      <right/>
      <top/>
      <bottom style="thin">
        <color indexed="64"/>
      </bottom>
      <diagonal/>
    </border>
    <border>
      <left style="double">
        <color indexed="64"/>
      </left>
      <right/>
      <top/>
      <bottom style="thin">
        <color indexed="64"/>
      </bottom>
      <diagonal/>
    </border>
    <border>
      <left/>
      <right style="double">
        <color indexed="64"/>
      </right>
      <top/>
      <bottom style="thin">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thin">
        <color indexed="64"/>
      </left>
      <right/>
      <top style="medium">
        <color indexed="64"/>
      </top>
      <bottom/>
      <diagonal/>
    </border>
    <border>
      <left style="medium">
        <color indexed="64"/>
      </left>
      <right/>
      <top style="thin">
        <color indexed="64"/>
      </top>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top style="medium">
        <color indexed="64"/>
      </top>
      <bottom style="thin">
        <color indexed="64"/>
      </bottom>
      <diagonal/>
    </border>
    <border>
      <left/>
      <right style="double">
        <color indexed="64"/>
      </right>
      <top style="medium">
        <color indexed="64"/>
      </top>
      <bottom style="thin">
        <color indexed="64"/>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diagonal/>
    </border>
    <border>
      <left/>
      <right style="double">
        <color indexed="64"/>
      </right>
      <top style="thin">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diagonal/>
    </border>
    <border>
      <left style="thin">
        <color indexed="64"/>
      </left>
      <right/>
      <top style="thin">
        <color indexed="23"/>
      </top>
      <bottom/>
      <diagonal/>
    </border>
    <border>
      <left/>
      <right style="thin">
        <color indexed="64"/>
      </right>
      <top style="thin">
        <color indexed="23"/>
      </top>
      <bottom/>
      <diagonal/>
    </border>
    <border>
      <left style="double">
        <color indexed="64"/>
      </left>
      <right/>
      <top/>
      <bottom style="double">
        <color indexed="64"/>
      </bottom>
      <diagonal/>
    </border>
    <border>
      <left/>
      <right style="double">
        <color indexed="64"/>
      </right>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medium">
        <color indexed="64"/>
      </top>
      <bottom style="hair">
        <color indexed="64"/>
      </bottom>
      <diagonal/>
    </border>
    <border>
      <left style="medium">
        <color indexed="64"/>
      </left>
      <right style="thin">
        <color indexed="64"/>
      </right>
      <top style="medium">
        <color indexed="64"/>
      </top>
      <bottom style="hair">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hair">
        <color indexed="64"/>
      </bottom>
      <diagonal/>
    </border>
    <border>
      <left style="thin">
        <color indexed="64"/>
      </left>
      <right/>
      <top style="medium">
        <color indexed="64"/>
      </top>
      <bottom style="hair">
        <color indexed="64"/>
      </bottom>
      <diagonal/>
    </border>
    <border>
      <left style="thin">
        <color indexed="64"/>
      </left>
      <right/>
      <top style="hair">
        <color indexed="64"/>
      </top>
      <bottom style="hair">
        <color indexed="64"/>
      </bottom>
      <diagonal/>
    </border>
    <border>
      <left style="medium">
        <color indexed="64"/>
      </left>
      <right/>
      <top style="hair">
        <color indexed="64"/>
      </top>
      <bottom style="medium">
        <color indexed="64"/>
      </bottom>
      <diagonal/>
    </border>
    <border>
      <left style="thin">
        <color indexed="64"/>
      </left>
      <right/>
      <top style="hair">
        <color indexed="64"/>
      </top>
      <bottom style="medium">
        <color indexed="64"/>
      </bottom>
      <diagonal/>
    </border>
    <border>
      <left style="medium">
        <color indexed="64"/>
      </left>
      <right style="thin">
        <color indexed="64"/>
      </right>
      <top style="hair">
        <color indexed="64"/>
      </top>
      <bottom/>
      <diagonal/>
    </border>
    <border>
      <left style="hair">
        <color indexed="64"/>
      </left>
      <right/>
      <top style="hair">
        <color indexed="64"/>
      </top>
      <bottom/>
      <diagonal/>
    </border>
    <border>
      <left style="hair">
        <color indexed="64"/>
      </left>
      <right/>
      <top/>
      <bottom style="hair">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right style="medium">
        <color indexed="64"/>
      </right>
      <top style="hair">
        <color indexed="64"/>
      </top>
      <bottom/>
      <diagonal/>
    </border>
    <border>
      <left/>
      <right style="medium">
        <color indexed="64"/>
      </right>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thin">
        <color indexed="64"/>
      </top>
      <bottom style="hair">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hair">
        <color indexed="64"/>
      </top>
      <bottom style="thin">
        <color indexed="64"/>
      </bottom>
      <diagonal/>
    </border>
    <border>
      <left style="medium">
        <color indexed="64"/>
      </left>
      <right/>
      <top/>
      <bottom style="hair">
        <color indexed="64"/>
      </bottom>
      <diagonal/>
    </border>
    <border>
      <left style="medium">
        <color indexed="64"/>
      </left>
      <right style="thin">
        <color indexed="64"/>
      </right>
      <top/>
      <bottom style="hair">
        <color indexed="64"/>
      </bottom>
      <diagonal/>
    </border>
    <border>
      <left style="medium">
        <color indexed="64"/>
      </left>
      <right/>
      <top style="hair">
        <color indexed="64"/>
      </top>
      <bottom/>
      <diagonal/>
    </border>
    <border>
      <left style="double">
        <color indexed="64"/>
      </left>
      <right style="medium">
        <color indexed="64"/>
      </right>
      <top style="double">
        <color indexed="64"/>
      </top>
      <bottom style="double">
        <color indexed="64"/>
      </bottom>
      <diagonal/>
    </border>
    <border>
      <left style="medium">
        <color indexed="64"/>
      </left>
      <right style="medium">
        <color indexed="64"/>
      </right>
      <top style="double">
        <color indexed="64"/>
      </top>
      <bottom style="double">
        <color indexed="64"/>
      </bottom>
      <diagonal/>
    </border>
    <border>
      <left style="medium">
        <color indexed="64"/>
      </left>
      <right style="double">
        <color indexed="64"/>
      </right>
      <top style="double">
        <color indexed="64"/>
      </top>
      <bottom style="double">
        <color indexed="64"/>
      </bottom>
      <diagonal/>
    </border>
    <border>
      <left style="medium">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top style="medium">
        <color indexed="64"/>
      </top>
      <bottom style="double">
        <color indexed="64"/>
      </bottom>
      <diagonal/>
    </border>
    <border>
      <left style="double">
        <color indexed="64"/>
      </left>
      <right style="thin">
        <color indexed="64"/>
      </right>
      <top style="double">
        <color indexed="64"/>
      </top>
      <bottom/>
      <diagonal/>
    </border>
    <border>
      <left style="thin">
        <color indexed="64"/>
      </left>
      <right style="double">
        <color indexed="64"/>
      </right>
      <top style="double">
        <color indexed="64"/>
      </top>
      <bottom/>
      <diagonal/>
    </border>
    <border>
      <left style="thin">
        <color indexed="64"/>
      </left>
      <right style="medium">
        <color indexed="64"/>
      </right>
      <top style="thin">
        <color indexed="64"/>
      </top>
      <bottom/>
      <diagonal/>
    </border>
    <border>
      <left style="thick">
        <color indexed="10"/>
      </left>
      <right style="thick">
        <color indexed="10"/>
      </right>
      <top style="thick">
        <color indexed="10"/>
      </top>
      <bottom style="thick">
        <color indexed="10"/>
      </bottom>
      <diagonal/>
    </border>
    <border>
      <left style="medium">
        <color indexed="64"/>
      </left>
      <right style="thin">
        <color indexed="64"/>
      </right>
      <top style="thin">
        <color indexed="64"/>
      </top>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cellStyleXfs>
  <cellXfs count="1701">
    <xf numFmtId="0" fontId="0" fillId="0" borderId="0" xfId="0">
      <alignment vertical="center"/>
    </xf>
    <xf numFmtId="0" fontId="3" fillId="0" borderId="0" xfId="0" applyFont="1" applyFill="1" applyBorder="1" applyAlignment="1">
      <alignment vertical="center"/>
    </xf>
    <xf numFmtId="0" fontId="4" fillId="0" borderId="1" xfId="0" applyFont="1"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4" fillId="0" borderId="5" xfId="0" applyFont="1" applyBorder="1">
      <alignment vertical="center"/>
    </xf>
    <xf numFmtId="0" fontId="0" fillId="0" borderId="6" xfId="0" applyBorder="1">
      <alignment vertical="center"/>
    </xf>
    <xf numFmtId="0" fontId="0" fillId="0" borderId="7" xfId="0" applyBorder="1">
      <alignment vertical="center"/>
    </xf>
    <xf numFmtId="0" fontId="4" fillId="0" borderId="8" xfId="0" applyFont="1" applyBorder="1">
      <alignment vertical="center"/>
    </xf>
    <xf numFmtId="0" fontId="0" fillId="0" borderId="9" xfId="0"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0" fillId="0" borderId="13" xfId="0" applyBorder="1">
      <alignment vertical="center"/>
    </xf>
    <xf numFmtId="0" fontId="0" fillId="0" borderId="5" xfId="0" applyBorder="1">
      <alignment vertical="center"/>
    </xf>
    <xf numFmtId="0" fontId="0" fillId="0" borderId="14" xfId="0" applyBorder="1">
      <alignment vertical="center"/>
    </xf>
    <xf numFmtId="0" fontId="0" fillId="0" borderId="15" xfId="0" applyBorder="1">
      <alignment vertical="center"/>
    </xf>
    <xf numFmtId="0" fontId="0" fillId="0" borderId="16" xfId="0" applyBorder="1">
      <alignment vertical="center"/>
    </xf>
    <xf numFmtId="0" fontId="0" fillId="0" borderId="0" xfId="0" applyAlignment="1">
      <alignment vertical="center" wrapText="1"/>
    </xf>
    <xf numFmtId="0" fontId="11" fillId="0" borderId="0" xfId="0" applyFont="1" applyFill="1" applyBorder="1">
      <alignment vertical="center"/>
    </xf>
    <xf numFmtId="0" fontId="8" fillId="0" borderId="0" xfId="0" applyFont="1" applyFill="1" applyBorder="1">
      <alignment vertical="center"/>
    </xf>
    <xf numFmtId="0" fontId="3" fillId="0" borderId="0" xfId="0" applyFont="1" applyFill="1" applyBorder="1">
      <alignment vertical="center"/>
    </xf>
    <xf numFmtId="0" fontId="10" fillId="0" borderId="0" xfId="0" applyFont="1" applyFill="1" applyBorder="1">
      <alignment vertical="center"/>
    </xf>
    <xf numFmtId="0" fontId="3" fillId="0" borderId="0" xfId="0" applyFont="1" applyFill="1" applyBorder="1" applyAlignment="1">
      <alignment horizontal="center" vertical="center"/>
    </xf>
    <xf numFmtId="0" fontId="10" fillId="0" borderId="0" xfId="0" quotePrefix="1" applyFont="1" applyFill="1" applyBorder="1">
      <alignment vertical="center"/>
    </xf>
    <xf numFmtId="0" fontId="8" fillId="0" borderId="0" xfId="0" applyFont="1" applyFill="1" applyBorder="1" applyAlignment="1">
      <alignment horizontal="center" vertical="center"/>
    </xf>
    <xf numFmtId="0" fontId="8" fillId="0" borderId="17" xfId="0" applyFont="1" applyFill="1" applyBorder="1">
      <alignment vertical="center"/>
    </xf>
    <xf numFmtId="0" fontId="8" fillId="0" borderId="18" xfId="0" applyFont="1" applyFill="1" applyBorder="1">
      <alignment vertical="center"/>
    </xf>
    <xf numFmtId="0" fontId="3" fillId="0" borderId="18" xfId="0" applyFont="1" applyFill="1" applyBorder="1">
      <alignment vertical="center"/>
    </xf>
    <xf numFmtId="0" fontId="13" fillId="0" borderId="0" xfId="0" applyFont="1" applyFill="1" applyBorder="1">
      <alignment vertical="center"/>
    </xf>
    <xf numFmtId="0" fontId="3" fillId="0" borderId="19" xfId="0" applyFont="1" applyFill="1" applyBorder="1">
      <alignment vertical="center"/>
    </xf>
    <xf numFmtId="0" fontId="8" fillId="0" borderId="19" xfId="0" applyFont="1" applyFill="1" applyBorder="1">
      <alignment vertical="center"/>
    </xf>
    <xf numFmtId="0" fontId="3" fillId="0" borderId="20" xfId="0" applyFont="1" applyFill="1" applyBorder="1">
      <alignment vertical="center"/>
    </xf>
    <xf numFmtId="0" fontId="8" fillId="0" borderId="20" xfId="0" applyFont="1" applyFill="1" applyBorder="1">
      <alignment vertical="center"/>
    </xf>
    <xf numFmtId="0" fontId="3" fillId="0" borderId="0" xfId="0" applyFont="1" applyFill="1" applyBorder="1" applyAlignment="1">
      <alignment horizontal="right" vertical="center"/>
    </xf>
    <xf numFmtId="0" fontId="3" fillId="0" borderId="0" xfId="0" quotePrefix="1" applyFont="1" applyFill="1" applyBorder="1">
      <alignment vertical="center"/>
    </xf>
    <xf numFmtId="0" fontId="8" fillId="0" borderId="0" xfId="0" applyFont="1" applyFill="1" applyBorder="1" applyAlignment="1">
      <alignment vertical="center"/>
    </xf>
    <xf numFmtId="0" fontId="0" fillId="0" borderId="0" xfId="0" applyBorder="1">
      <alignment vertical="center"/>
    </xf>
    <xf numFmtId="0" fontId="3" fillId="0" borderId="21" xfId="0" applyFont="1" applyFill="1" applyBorder="1">
      <alignment vertical="center"/>
    </xf>
    <xf numFmtId="0" fontId="8" fillId="0" borderId="21" xfId="0" applyFont="1" applyFill="1" applyBorder="1">
      <alignment vertical="center"/>
    </xf>
    <xf numFmtId="0" fontId="3" fillId="0" borderId="22" xfId="0" applyFont="1" applyFill="1" applyBorder="1" applyAlignment="1">
      <alignment vertical="center"/>
    </xf>
    <xf numFmtId="0" fontId="8" fillId="0" borderId="22" xfId="0" applyFont="1" applyFill="1" applyBorder="1">
      <alignment vertical="center"/>
    </xf>
    <xf numFmtId="0" fontId="8" fillId="0" borderId="23" xfId="0" applyFont="1" applyFill="1" applyBorder="1">
      <alignment vertical="center"/>
    </xf>
    <xf numFmtId="0" fontId="8" fillId="0" borderId="24" xfId="0" applyFont="1" applyFill="1" applyBorder="1">
      <alignment vertical="center"/>
    </xf>
    <xf numFmtId="0" fontId="3" fillId="0" borderId="22" xfId="0" applyFont="1" applyFill="1" applyBorder="1" applyAlignment="1">
      <alignment horizontal="center" vertical="center" wrapText="1"/>
    </xf>
    <xf numFmtId="0" fontId="3" fillId="0" borderId="22" xfId="0" applyFont="1" applyFill="1" applyBorder="1" applyAlignment="1">
      <alignment horizontal="center" vertical="center"/>
    </xf>
    <xf numFmtId="0" fontId="3" fillId="0" borderId="22" xfId="0" applyFont="1" applyFill="1" applyBorder="1">
      <alignment vertical="center"/>
    </xf>
    <xf numFmtId="0" fontId="0" fillId="0" borderId="0" xfId="0" applyBorder="1" applyAlignment="1">
      <alignment horizontal="right" vertical="center"/>
    </xf>
    <xf numFmtId="0" fontId="3" fillId="0" borderId="23" xfId="0" applyFont="1" applyFill="1" applyBorder="1">
      <alignment vertical="center"/>
    </xf>
    <xf numFmtId="0" fontId="15" fillId="0" borderId="0" xfId="0" applyFont="1">
      <alignment vertical="center"/>
    </xf>
    <xf numFmtId="0" fontId="8" fillId="2" borderId="15" xfId="0" applyFont="1" applyFill="1" applyBorder="1">
      <alignment vertical="center"/>
    </xf>
    <xf numFmtId="0" fontId="8" fillId="2" borderId="25" xfId="0" applyFont="1" applyFill="1" applyBorder="1">
      <alignment vertical="center"/>
    </xf>
    <xf numFmtId="0" fontId="8" fillId="0" borderId="26" xfId="0" applyFont="1" applyFill="1" applyBorder="1">
      <alignment vertical="center"/>
    </xf>
    <xf numFmtId="0" fontId="8" fillId="0" borderId="27" xfId="0" applyFont="1" applyFill="1" applyBorder="1">
      <alignment vertical="center"/>
    </xf>
    <xf numFmtId="0" fontId="8" fillId="0" borderId="28" xfId="0" applyFont="1" applyFill="1" applyBorder="1">
      <alignment vertical="center"/>
    </xf>
    <xf numFmtId="0" fontId="3" fillId="2" borderId="29" xfId="0" applyFont="1" applyFill="1" applyBorder="1" applyAlignment="1">
      <alignment vertical="center"/>
    </xf>
    <xf numFmtId="0" fontId="3" fillId="2" borderId="15" xfId="0" applyFont="1" applyFill="1" applyBorder="1">
      <alignment vertical="center"/>
    </xf>
    <xf numFmtId="0" fontId="3" fillId="0" borderId="30" xfId="0" applyFont="1" applyFill="1" applyBorder="1">
      <alignment vertical="center"/>
    </xf>
    <xf numFmtId="0" fontId="3" fillId="0" borderId="26" xfId="0" applyFont="1" applyFill="1" applyBorder="1">
      <alignment vertical="center"/>
    </xf>
    <xf numFmtId="0" fontId="3" fillId="0" borderId="31" xfId="0" applyFont="1" applyFill="1" applyBorder="1">
      <alignment vertical="center"/>
    </xf>
    <xf numFmtId="0" fontId="3" fillId="0" borderId="32" xfId="0" applyFont="1" applyFill="1" applyBorder="1">
      <alignment vertical="center"/>
    </xf>
    <xf numFmtId="0" fontId="8" fillId="0" borderId="33" xfId="0" applyFont="1" applyFill="1" applyBorder="1">
      <alignment vertical="center"/>
    </xf>
    <xf numFmtId="0" fontId="8" fillId="0" borderId="34" xfId="0" applyFont="1" applyFill="1" applyBorder="1">
      <alignment vertical="center"/>
    </xf>
    <xf numFmtId="0" fontId="3" fillId="0" borderId="35" xfId="0" applyFont="1" applyFill="1" applyBorder="1" applyAlignment="1">
      <alignment vertical="center"/>
    </xf>
    <xf numFmtId="0" fontId="3" fillId="0" borderId="36" xfId="0" applyFont="1" applyFill="1" applyBorder="1">
      <alignment vertical="center"/>
    </xf>
    <xf numFmtId="0" fontId="3" fillId="0" borderId="35" xfId="0" applyFont="1" applyFill="1" applyBorder="1" applyAlignment="1">
      <alignment horizontal="center" vertical="center"/>
    </xf>
    <xf numFmtId="0" fontId="0" fillId="0" borderId="37" xfId="0" applyBorder="1">
      <alignment vertical="center"/>
    </xf>
    <xf numFmtId="0" fontId="0" fillId="0" borderId="38" xfId="0" applyBorder="1">
      <alignment vertical="center"/>
    </xf>
    <xf numFmtId="0" fontId="0" fillId="0" borderId="39" xfId="0" applyBorder="1">
      <alignment vertical="center"/>
    </xf>
    <xf numFmtId="0" fontId="0" fillId="0" borderId="40" xfId="0" applyBorder="1">
      <alignment vertical="center"/>
    </xf>
    <xf numFmtId="0" fontId="0" fillId="0" borderId="41" xfId="0" applyBorder="1">
      <alignment vertical="center"/>
    </xf>
    <xf numFmtId="0" fontId="14" fillId="0" borderId="0" xfId="0" applyFont="1" applyFill="1" applyBorder="1">
      <alignment vertical="center"/>
    </xf>
    <xf numFmtId="0" fontId="16" fillId="0" borderId="0" xfId="0" applyFont="1" applyFill="1" applyBorder="1">
      <alignment vertical="center"/>
    </xf>
    <xf numFmtId="0" fontId="14" fillId="0" borderId="42" xfId="0" applyFont="1" applyFill="1" applyBorder="1">
      <alignment vertical="center"/>
    </xf>
    <xf numFmtId="0" fontId="14" fillId="0" borderId="43" xfId="0" applyFont="1" applyFill="1" applyBorder="1">
      <alignment vertical="center"/>
    </xf>
    <xf numFmtId="0" fontId="8" fillId="0" borderId="44" xfId="0" applyFont="1" applyFill="1" applyBorder="1">
      <alignment vertical="center"/>
    </xf>
    <xf numFmtId="0" fontId="8" fillId="0" borderId="45" xfId="0" applyFont="1" applyFill="1" applyBorder="1">
      <alignment vertical="center"/>
    </xf>
    <xf numFmtId="0" fontId="3" fillId="0" borderId="46" xfId="0" applyFont="1" applyFill="1" applyBorder="1">
      <alignment vertical="center"/>
    </xf>
    <xf numFmtId="0" fontId="3" fillId="0" borderId="45" xfId="0" applyFont="1" applyFill="1" applyBorder="1">
      <alignment vertical="center"/>
    </xf>
    <xf numFmtId="0" fontId="8" fillId="0" borderId="30" xfId="0" applyFont="1" applyFill="1" applyBorder="1">
      <alignment vertical="center"/>
    </xf>
    <xf numFmtId="0" fontId="3" fillId="0" borderId="44" xfId="0" applyFont="1" applyFill="1" applyBorder="1">
      <alignment vertical="center"/>
    </xf>
    <xf numFmtId="0" fontId="0" fillId="0" borderId="0" xfId="0" applyFill="1">
      <alignment vertical="center"/>
    </xf>
    <xf numFmtId="0" fontId="0" fillId="0" borderId="0" xfId="0" applyFill="1" applyBorder="1">
      <alignment vertical="center"/>
    </xf>
    <xf numFmtId="0" fontId="3" fillId="0" borderId="47" xfId="0" applyFont="1" applyFill="1" applyBorder="1">
      <alignment vertical="center"/>
    </xf>
    <xf numFmtId="0" fontId="3" fillId="0" borderId="48" xfId="0" applyFont="1" applyFill="1" applyBorder="1">
      <alignment vertical="center"/>
    </xf>
    <xf numFmtId="0" fontId="3" fillId="0" borderId="49" xfId="0" applyFont="1" applyFill="1" applyBorder="1" applyAlignment="1">
      <alignment vertical="center"/>
    </xf>
    <xf numFmtId="0" fontId="3" fillId="0" borderId="50" xfId="0" applyFont="1" applyFill="1" applyBorder="1" applyAlignment="1">
      <alignment vertical="center"/>
    </xf>
    <xf numFmtId="0" fontId="3" fillId="0" borderId="43" xfId="0" quotePrefix="1" applyFont="1" applyFill="1" applyBorder="1">
      <alignment vertical="center"/>
    </xf>
    <xf numFmtId="0" fontId="3" fillId="0" borderId="43" xfId="0" applyFont="1" applyFill="1" applyBorder="1">
      <alignment vertical="center"/>
    </xf>
    <xf numFmtId="0" fontId="8" fillId="2" borderId="38" xfId="0" applyFont="1" applyFill="1" applyBorder="1">
      <alignment vertical="center"/>
    </xf>
    <xf numFmtId="0" fontId="3" fillId="0" borderId="21" xfId="0" applyFont="1" applyFill="1" applyBorder="1" applyAlignment="1">
      <alignment horizontal="right" vertical="center"/>
    </xf>
    <xf numFmtId="0" fontId="8" fillId="2" borderId="29" xfId="0" applyFont="1" applyFill="1" applyBorder="1" applyAlignment="1">
      <alignment horizontal="left" vertical="center"/>
    </xf>
    <xf numFmtId="0" fontId="8" fillId="2" borderId="15" xfId="0" applyFont="1" applyFill="1" applyBorder="1" applyAlignment="1">
      <alignment horizontal="center" vertical="center"/>
    </xf>
    <xf numFmtId="0" fontId="8" fillId="2" borderId="38" xfId="0" applyFont="1" applyFill="1" applyBorder="1" applyAlignment="1">
      <alignment horizontal="left" vertical="center"/>
    </xf>
    <xf numFmtId="0" fontId="8" fillId="2" borderId="15" xfId="0" applyFont="1" applyFill="1" applyBorder="1" applyAlignment="1">
      <alignment horizontal="left" vertical="center"/>
    </xf>
    <xf numFmtId="0" fontId="14" fillId="0" borderId="51" xfId="0" applyFont="1" applyFill="1" applyBorder="1">
      <alignment vertical="center"/>
    </xf>
    <xf numFmtId="0" fontId="14" fillId="0" borderId="20" xfId="0" applyFont="1" applyFill="1" applyBorder="1">
      <alignment vertical="center"/>
    </xf>
    <xf numFmtId="177" fontId="8" fillId="0" borderId="0" xfId="0" applyNumberFormat="1" applyFont="1" applyFill="1" applyBorder="1" applyAlignment="1">
      <alignment vertical="center"/>
    </xf>
    <xf numFmtId="0" fontId="4" fillId="0" borderId="0" xfId="0" applyFont="1">
      <alignment vertical="center"/>
    </xf>
    <xf numFmtId="0" fontId="18" fillId="0" borderId="0" xfId="0" applyFont="1" applyFill="1" applyBorder="1">
      <alignment vertical="center"/>
    </xf>
    <xf numFmtId="0" fontId="3" fillId="0" borderId="36" xfId="0" applyFont="1" applyFill="1" applyBorder="1" applyAlignment="1">
      <alignment horizontal="center" vertical="center"/>
    </xf>
    <xf numFmtId="0" fontId="3" fillId="0" borderId="21" xfId="0" applyFont="1" applyFill="1" applyBorder="1" applyAlignment="1">
      <alignment horizontal="center" vertical="center" wrapText="1"/>
    </xf>
    <xf numFmtId="0" fontId="18" fillId="0" borderId="19" xfId="0" applyFont="1" applyFill="1" applyBorder="1">
      <alignment vertical="center"/>
    </xf>
    <xf numFmtId="0" fontId="3" fillId="0" borderId="52" xfId="0" applyFont="1" applyFill="1" applyBorder="1">
      <alignment vertical="center"/>
    </xf>
    <xf numFmtId="0" fontId="8" fillId="0" borderId="52" xfId="0" applyFont="1" applyFill="1" applyBorder="1">
      <alignment vertical="center"/>
    </xf>
    <xf numFmtId="0" fontId="3" fillId="0" borderId="53" xfId="0" applyFont="1" applyFill="1" applyBorder="1">
      <alignment vertical="center"/>
    </xf>
    <xf numFmtId="0" fontId="3" fillId="0" borderId="54" xfId="0" applyFont="1" applyFill="1" applyBorder="1">
      <alignment vertical="center"/>
    </xf>
    <xf numFmtId="0" fontId="8" fillId="0" borderId="54" xfId="0" applyFont="1" applyFill="1" applyBorder="1">
      <alignment vertical="center"/>
    </xf>
    <xf numFmtId="0" fontId="8" fillId="0" borderId="55" xfId="0" applyFont="1" applyFill="1" applyBorder="1">
      <alignment vertical="center"/>
    </xf>
    <xf numFmtId="0" fontId="3" fillId="0" borderId="56" xfId="0" applyFont="1" applyFill="1" applyBorder="1">
      <alignment vertical="center"/>
    </xf>
    <xf numFmtId="0" fontId="8" fillId="0" borderId="57" xfId="0" applyFont="1" applyFill="1" applyBorder="1">
      <alignment vertical="center"/>
    </xf>
    <xf numFmtId="0" fontId="3" fillId="0" borderId="7" xfId="0" applyFont="1" applyFill="1" applyBorder="1">
      <alignment vertical="center"/>
    </xf>
    <xf numFmtId="0" fontId="8" fillId="0" borderId="7" xfId="0" applyFont="1" applyFill="1" applyBorder="1">
      <alignment vertical="center"/>
    </xf>
    <xf numFmtId="0" fontId="8" fillId="0" borderId="9" xfId="0" applyFont="1" applyFill="1" applyBorder="1">
      <alignment vertical="center"/>
    </xf>
    <xf numFmtId="0" fontId="4" fillId="0" borderId="0" xfId="0" applyFont="1" applyBorder="1">
      <alignment vertical="center"/>
    </xf>
    <xf numFmtId="0" fontId="10" fillId="0" borderId="20" xfId="0" applyFont="1" applyFill="1" applyBorder="1">
      <alignment vertical="center"/>
    </xf>
    <xf numFmtId="0" fontId="3" fillId="0" borderId="58" xfId="0" quotePrefix="1" applyFont="1" applyFill="1" applyBorder="1">
      <alignment vertical="center"/>
    </xf>
    <xf numFmtId="0" fontId="8" fillId="0" borderId="59" xfId="0" applyFont="1" applyFill="1" applyBorder="1">
      <alignment vertical="center"/>
    </xf>
    <xf numFmtId="0" fontId="3" fillId="0" borderId="24" xfId="0" applyFont="1" applyFill="1" applyBorder="1" applyAlignment="1">
      <alignment horizontal="center" vertical="center"/>
    </xf>
    <xf numFmtId="0" fontId="3" fillId="0" borderId="24" xfId="0" applyFont="1" applyFill="1" applyBorder="1">
      <alignment vertical="center"/>
    </xf>
    <xf numFmtId="0" fontId="3" fillId="0" borderId="33" xfId="0" applyFont="1" applyFill="1" applyBorder="1">
      <alignment vertical="center"/>
    </xf>
    <xf numFmtId="0" fontId="0" fillId="0" borderId="0" xfId="0" applyAlignment="1">
      <alignment horizontal="center" vertical="center"/>
    </xf>
    <xf numFmtId="0" fontId="19" fillId="0" borderId="0" xfId="2" applyFont="1"/>
    <xf numFmtId="0" fontId="1" fillId="0" borderId="0" xfId="2"/>
    <xf numFmtId="0" fontId="1" fillId="0" borderId="0" xfId="2" applyAlignment="1">
      <alignment vertical="center"/>
    </xf>
    <xf numFmtId="5" fontId="1" fillId="0" borderId="0" xfId="2" applyNumberFormat="1"/>
    <xf numFmtId="9" fontId="0" fillId="0" borderId="0" xfId="0" applyNumberFormat="1" applyAlignment="1">
      <alignment vertical="center"/>
    </xf>
    <xf numFmtId="0" fontId="17" fillId="0" borderId="0" xfId="0" applyFont="1">
      <alignment vertical="center"/>
    </xf>
    <xf numFmtId="0" fontId="0" fillId="0" borderId="10" xfId="0" applyFill="1" applyBorder="1">
      <alignment vertical="center"/>
    </xf>
    <xf numFmtId="0" fontId="0" fillId="0" borderId="11" xfId="0" applyFill="1" applyBorder="1">
      <alignment vertical="center"/>
    </xf>
    <xf numFmtId="0" fontId="0" fillId="0" borderId="12" xfId="0" applyFill="1" applyBorder="1">
      <alignment vertical="center"/>
    </xf>
    <xf numFmtId="0" fontId="0" fillId="0" borderId="56" xfId="0" applyFill="1" applyBorder="1">
      <alignment vertical="center"/>
    </xf>
    <xf numFmtId="0" fontId="0" fillId="0" borderId="57" xfId="0" applyFill="1" applyBorder="1">
      <alignment vertical="center"/>
    </xf>
    <xf numFmtId="0" fontId="0" fillId="0" borderId="13" xfId="0" applyFill="1" applyBorder="1">
      <alignment vertical="center"/>
    </xf>
    <xf numFmtId="0" fontId="0" fillId="0" borderId="7" xfId="0" applyFill="1" applyBorder="1">
      <alignment vertical="center"/>
    </xf>
    <xf numFmtId="0" fontId="0" fillId="0" borderId="60" xfId="0" applyFill="1" applyBorder="1">
      <alignment vertical="center"/>
    </xf>
    <xf numFmtId="0" fontId="6" fillId="0" borderId="61" xfId="0" applyFont="1" applyBorder="1" applyAlignment="1">
      <alignment vertical="center"/>
    </xf>
    <xf numFmtId="0" fontId="6" fillId="0" borderId="11" xfId="0" applyFont="1" applyBorder="1" applyAlignment="1">
      <alignment vertical="center" wrapText="1"/>
    </xf>
    <xf numFmtId="0" fontId="6" fillId="0" borderId="12" xfId="0" applyFont="1" applyBorder="1" applyAlignment="1">
      <alignment vertical="center" wrapText="1"/>
    </xf>
    <xf numFmtId="0" fontId="0" fillId="3" borderId="10" xfId="0" applyFill="1" applyBorder="1">
      <alignment vertical="center"/>
    </xf>
    <xf numFmtId="0" fontId="0" fillId="3" borderId="11" xfId="0" applyFill="1" applyBorder="1">
      <alignment vertical="center"/>
    </xf>
    <xf numFmtId="0" fontId="6" fillId="0" borderId="29" xfId="0" applyFont="1" applyBorder="1" applyAlignment="1">
      <alignment vertical="center"/>
    </xf>
    <xf numFmtId="0" fontId="6" fillId="0" borderId="15" xfId="0" applyFont="1" applyBorder="1" applyAlignment="1">
      <alignment vertical="center"/>
    </xf>
    <xf numFmtId="0" fontId="6" fillId="0" borderId="16" xfId="0" applyFont="1" applyBorder="1" applyAlignment="1">
      <alignment vertical="center"/>
    </xf>
    <xf numFmtId="0" fontId="6" fillId="3" borderId="29" xfId="0" applyFont="1" applyFill="1" applyBorder="1" applyAlignment="1">
      <alignment vertical="center"/>
    </xf>
    <xf numFmtId="0" fontId="6" fillId="3" borderId="15" xfId="0" applyFont="1" applyFill="1" applyBorder="1" applyAlignment="1">
      <alignment vertical="center"/>
    </xf>
    <xf numFmtId="0" fontId="6" fillId="3" borderId="16" xfId="0" applyFont="1" applyFill="1" applyBorder="1" applyAlignment="1">
      <alignment vertical="center"/>
    </xf>
    <xf numFmtId="0" fontId="0" fillId="3" borderId="14" xfId="0" applyFill="1" applyBorder="1">
      <alignment vertical="center"/>
    </xf>
    <xf numFmtId="0" fontId="0" fillId="3" borderId="15" xfId="0" applyFill="1" applyBorder="1">
      <alignment vertical="center"/>
    </xf>
    <xf numFmtId="0" fontId="6" fillId="3" borderId="62" xfId="0" applyFont="1" applyFill="1" applyBorder="1" applyAlignment="1">
      <alignment vertical="center"/>
    </xf>
    <xf numFmtId="0" fontId="6" fillId="3" borderId="63" xfId="0" applyFont="1" applyFill="1" applyBorder="1" applyAlignment="1">
      <alignment vertical="center"/>
    </xf>
    <xf numFmtId="0" fontId="6" fillId="3" borderId="60" xfId="0" applyFont="1" applyFill="1" applyBorder="1" applyAlignment="1">
      <alignment vertical="center"/>
    </xf>
    <xf numFmtId="0" fontId="0" fillId="3" borderId="2" xfId="0" applyFill="1" applyBorder="1" applyAlignment="1">
      <alignment vertical="center"/>
    </xf>
    <xf numFmtId="0" fontId="0" fillId="0" borderId="11" xfId="0" applyBorder="1" applyAlignment="1">
      <alignment vertical="center"/>
    </xf>
    <xf numFmtId="0" fontId="0" fillId="0" borderId="64" xfId="0" applyBorder="1">
      <alignment vertical="center"/>
    </xf>
    <xf numFmtId="0" fontId="0" fillId="0" borderId="63" xfId="0" applyBorder="1">
      <alignment vertical="center"/>
    </xf>
    <xf numFmtId="0" fontId="0" fillId="0" borderId="60" xfId="0" applyBorder="1">
      <alignment vertical="center"/>
    </xf>
    <xf numFmtId="0" fontId="3" fillId="0" borderId="0" xfId="0" applyFont="1" applyFill="1" applyBorder="1" applyAlignment="1">
      <alignment vertical="top"/>
    </xf>
    <xf numFmtId="0" fontId="22" fillId="0" borderId="0" xfId="0" applyFont="1">
      <alignment vertical="center"/>
    </xf>
    <xf numFmtId="0" fontId="13" fillId="0" borderId="0" xfId="0" applyFont="1">
      <alignment vertical="center"/>
    </xf>
    <xf numFmtId="0" fontId="3" fillId="0" borderId="0" xfId="0" applyFont="1">
      <alignment vertical="center"/>
    </xf>
    <xf numFmtId="0" fontId="8" fillId="0" borderId="0" xfId="0" applyFont="1">
      <alignment vertical="center"/>
    </xf>
    <xf numFmtId="185" fontId="8" fillId="0" borderId="0" xfId="0" applyNumberFormat="1" applyFont="1">
      <alignment vertical="center"/>
    </xf>
    <xf numFmtId="0" fontId="23" fillId="0" borderId="0" xfId="0" applyFont="1" applyFill="1">
      <alignment vertical="center"/>
    </xf>
    <xf numFmtId="0" fontId="14" fillId="0" borderId="0" xfId="0" applyFont="1" applyFill="1" applyAlignment="1">
      <alignment horizontal="center" vertical="center"/>
    </xf>
    <xf numFmtId="0" fontId="24" fillId="0" borderId="0" xfId="0" applyFont="1" applyFill="1">
      <alignment vertical="center"/>
    </xf>
    <xf numFmtId="0" fontId="14" fillId="0" borderId="0" xfId="0" applyFont="1" applyFill="1">
      <alignment vertical="center"/>
    </xf>
    <xf numFmtId="185" fontId="24" fillId="0" borderId="0" xfId="0" applyNumberFormat="1" applyFont="1" applyFill="1">
      <alignment vertical="center"/>
    </xf>
    <xf numFmtId="0" fontId="3" fillId="0" borderId="0" xfId="0" applyFont="1" applyBorder="1">
      <alignment vertical="center"/>
    </xf>
    <xf numFmtId="185" fontId="8" fillId="0" borderId="0" xfId="0" applyNumberFormat="1" applyFont="1" applyBorder="1">
      <alignment vertical="center"/>
    </xf>
    <xf numFmtId="0" fontId="8" fillId="0" borderId="0" xfId="0" applyFont="1" applyBorder="1">
      <alignment vertical="center"/>
    </xf>
    <xf numFmtId="0" fontId="3" fillId="0" borderId="19" xfId="0" applyFont="1" applyBorder="1">
      <alignment vertical="center"/>
    </xf>
    <xf numFmtId="0" fontId="8" fillId="0" borderId="19" xfId="0" applyFont="1" applyBorder="1">
      <alignment vertical="center"/>
    </xf>
    <xf numFmtId="185" fontId="8" fillId="0" borderId="19" xfId="0" applyNumberFormat="1" applyFont="1" applyBorder="1">
      <alignment vertical="center"/>
    </xf>
    <xf numFmtId="0" fontId="3" fillId="0" borderId="59" xfId="0" applyFont="1" applyBorder="1" applyAlignment="1">
      <alignment horizontal="right" vertical="center"/>
    </xf>
    <xf numFmtId="0" fontId="3" fillId="0" borderId="0" xfId="0" applyFont="1" applyBorder="1" applyAlignment="1">
      <alignment vertical="center"/>
    </xf>
    <xf numFmtId="0" fontId="14" fillId="0" borderId="0" xfId="0" applyFont="1">
      <alignment vertical="center"/>
    </xf>
    <xf numFmtId="185" fontId="8" fillId="0" borderId="0" xfId="0" applyNumberFormat="1" applyFont="1" applyBorder="1" applyAlignment="1">
      <alignment vertical="center"/>
    </xf>
    <xf numFmtId="0" fontId="8" fillId="0" borderId="0" xfId="0" applyNumberFormat="1" applyFont="1" applyAlignment="1">
      <alignment vertical="center"/>
    </xf>
    <xf numFmtId="0" fontId="8" fillId="0" borderId="0" xfId="0" applyNumberFormat="1" applyFont="1" applyFill="1" applyBorder="1">
      <alignment vertical="center"/>
    </xf>
    <xf numFmtId="0" fontId="3" fillId="0" borderId="0" xfId="0" applyFont="1" applyAlignment="1">
      <alignment vertical="center"/>
    </xf>
    <xf numFmtId="185" fontId="8" fillId="0" borderId="0" xfId="0" applyNumberFormat="1" applyFont="1" applyAlignment="1">
      <alignment vertical="center"/>
    </xf>
    <xf numFmtId="0" fontId="3" fillId="0" borderId="59" xfId="0" applyFont="1" applyFill="1" applyBorder="1" applyAlignment="1">
      <alignment horizontal="right" vertical="center"/>
    </xf>
    <xf numFmtId="0" fontId="24" fillId="0" borderId="0" xfId="0" applyFont="1">
      <alignment vertical="center"/>
    </xf>
    <xf numFmtId="0" fontId="3" fillId="0" borderId="19" xfId="0" applyFont="1" applyFill="1" applyBorder="1" applyAlignment="1">
      <alignment horizontal="right" vertical="center"/>
    </xf>
    <xf numFmtId="0" fontId="25" fillId="0" borderId="0" xfId="0" applyFont="1">
      <alignment vertical="center"/>
    </xf>
    <xf numFmtId="0" fontId="26" fillId="0" borderId="0" xfId="0" applyFont="1">
      <alignment vertical="center"/>
    </xf>
    <xf numFmtId="0" fontId="12" fillId="0" borderId="0" xfId="0" applyFont="1" applyFill="1" applyBorder="1" applyAlignment="1">
      <alignment vertical="center"/>
    </xf>
    <xf numFmtId="0" fontId="3" fillId="0" borderId="0" xfId="0" applyFont="1" applyFill="1">
      <alignment vertical="center"/>
    </xf>
    <xf numFmtId="0" fontId="3" fillId="0" borderId="20" xfId="0" applyFont="1" applyBorder="1">
      <alignment vertical="center"/>
    </xf>
    <xf numFmtId="0" fontId="9" fillId="0" borderId="0" xfId="0" applyFont="1" applyFill="1" applyBorder="1" applyAlignment="1">
      <alignment vertical="center"/>
    </xf>
    <xf numFmtId="185" fontId="1" fillId="0" borderId="0" xfId="0" applyNumberFormat="1" applyFont="1" applyBorder="1">
      <alignment vertical="center"/>
    </xf>
    <xf numFmtId="185" fontId="1" fillId="0" borderId="0" xfId="0" applyNumberFormat="1" applyFont="1">
      <alignment vertical="center"/>
    </xf>
    <xf numFmtId="0" fontId="3" fillId="0" borderId="0" xfId="0" quotePrefix="1" applyFont="1">
      <alignment vertical="center"/>
    </xf>
    <xf numFmtId="0" fontId="3" fillId="0" borderId="52" xfId="0" applyFont="1" applyFill="1" applyBorder="1" applyAlignment="1">
      <alignment vertical="top"/>
    </xf>
    <xf numFmtId="0" fontId="3" fillId="0" borderId="65" xfId="0" applyFont="1" applyFill="1" applyBorder="1" applyAlignment="1">
      <alignment vertical="top"/>
    </xf>
    <xf numFmtId="0" fontId="8" fillId="0" borderId="5" xfId="0" applyFont="1" applyBorder="1">
      <alignment vertical="center"/>
    </xf>
    <xf numFmtId="0" fontId="8" fillId="0" borderId="29" xfId="0" applyFont="1" applyBorder="1">
      <alignment vertical="center"/>
    </xf>
    <xf numFmtId="0" fontId="3" fillId="0" borderId="19" xfId="0" applyFont="1" applyBorder="1" applyAlignment="1">
      <alignment vertical="center"/>
    </xf>
    <xf numFmtId="0" fontId="3" fillId="0" borderId="19" xfId="0" applyFont="1" applyBorder="1" applyAlignment="1">
      <alignment horizontal="center" vertical="center"/>
    </xf>
    <xf numFmtId="0" fontId="3" fillId="0" borderId="59" xfId="0" applyFont="1" applyBorder="1">
      <alignment vertical="center"/>
    </xf>
    <xf numFmtId="0" fontId="3" fillId="0" borderId="20" xfId="0" applyFont="1" applyBorder="1" applyAlignment="1">
      <alignment vertical="center"/>
    </xf>
    <xf numFmtId="0" fontId="3" fillId="0" borderId="44" xfId="0" applyFont="1" applyBorder="1">
      <alignment vertical="center"/>
    </xf>
    <xf numFmtId="0" fontId="0" fillId="0" borderId="0" xfId="0" applyAlignment="1">
      <alignment vertical="top"/>
    </xf>
    <xf numFmtId="0" fontId="0" fillId="0" borderId="0" xfId="0" applyAlignment="1">
      <alignment vertical="top" wrapText="1"/>
    </xf>
    <xf numFmtId="194" fontId="0" fillId="0" borderId="0" xfId="0" applyNumberFormat="1">
      <alignment vertical="center"/>
    </xf>
    <xf numFmtId="5" fontId="0" fillId="0" borderId="0" xfId="0" applyNumberFormat="1" applyBorder="1" applyAlignment="1">
      <alignment vertical="top"/>
    </xf>
    <xf numFmtId="0" fontId="0" fillId="0" borderId="0" xfId="0" applyBorder="1" applyAlignment="1">
      <alignment vertical="top" wrapText="1"/>
    </xf>
    <xf numFmtId="0" fontId="27" fillId="4" borderId="37" xfId="0" applyFont="1" applyFill="1" applyBorder="1" applyAlignment="1">
      <alignment vertical="center"/>
    </xf>
    <xf numFmtId="0" fontId="27" fillId="4" borderId="66" xfId="0" applyFont="1" applyFill="1" applyBorder="1" applyAlignment="1">
      <alignment vertical="top"/>
    </xf>
    <xf numFmtId="0" fontId="27" fillId="4" borderId="66" xfId="0" applyFont="1" applyFill="1" applyBorder="1" applyAlignment="1">
      <alignment vertical="top" wrapText="1"/>
    </xf>
    <xf numFmtId="0" fontId="27" fillId="4" borderId="5" xfId="0" applyFont="1" applyFill="1" applyBorder="1">
      <alignment vertical="center"/>
    </xf>
    <xf numFmtId="0" fontId="27" fillId="4" borderId="4" xfId="0" applyFont="1" applyFill="1" applyBorder="1" applyAlignment="1">
      <alignment horizontal="right" vertical="center"/>
    </xf>
    <xf numFmtId="0" fontId="27" fillId="4" borderId="38" xfId="0" applyFont="1" applyFill="1" applyBorder="1" applyAlignment="1">
      <alignment vertical="center"/>
    </xf>
    <xf numFmtId="9" fontId="27" fillId="4" borderId="67" xfId="0" applyNumberFormat="1" applyFont="1" applyFill="1" applyBorder="1" applyAlignment="1">
      <alignment vertical="center"/>
    </xf>
    <xf numFmtId="0" fontId="0" fillId="5" borderId="68" xfId="0" applyFill="1" applyBorder="1" applyAlignment="1">
      <alignment vertical="top" wrapText="1"/>
    </xf>
    <xf numFmtId="0" fontId="0" fillId="6" borderId="68" xfId="0" applyFill="1" applyBorder="1" applyAlignment="1">
      <alignment vertical="top" wrapText="1"/>
    </xf>
    <xf numFmtId="0" fontId="0" fillId="5" borderId="69" xfId="0" applyFill="1" applyBorder="1" applyAlignment="1">
      <alignment vertical="top" wrapText="1"/>
    </xf>
    <xf numFmtId="0" fontId="7" fillId="0" borderId="70" xfId="0" applyFont="1" applyBorder="1" applyAlignment="1">
      <alignment vertical="top" wrapText="1"/>
    </xf>
    <xf numFmtId="0" fontId="0" fillId="7" borderId="68" xfId="0" applyFill="1" applyBorder="1" applyAlignment="1">
      <alignment vertical="top" wrapText="1"/>
    </xf>
    <xf numFmtId="0" fontId="0" fillId="7" borderId="69" xfId="0" applyFill="1" applyBorder="1" applyAlignment="1">
      <alignment vertical="top" wrapText="1"/>
    </xf>
    <xf numFmtId="0" fontId="0" fillId="0" borderId="70" xfId="0" applyBorder="1">
      <alignment vertical="center"/>
    </xf>
    <xf numFmtId="0" fontId="0" fillId="0" borderId="71" xfId="0" applyBorder="1">
      <alignment vertical="center"/>
    </xf>
    <xf numFmtId="187" fontId="0" fillId="8" borderId="72" xfId="0" applyNumberFormat="1" applyFill="1" applyBorder="1">
      <alignment vertical="center"/>
    </xf>
    <xf numFmtId="187" fontId="0" fillId="8" borderId="73" xfId="0" applyNumberFormat="1" applyFill="1" applyBorder="1">
      <alignment vertical="center"/>
    </xf>
    <xf numFmtId="0" fontId="0" fillId="0" borderId="74" xfId="0" applyBorder="1">
      <alignment vertical="center"/>
    </xf>
    <xf numFmtId="0" fontId="0" fillId="0" borderId="75" xfId="0" applyBorder="1" applyAlignment="1">
      <alignment vertical="center" wrapText="1"/>
    </xf>
    <xf numFmtId="0" fontId="0" fillId="0" borderId="70" xfId="0" applyBorder="1" applyAlignment="1">
      <alignment vertical="center" wrapText="1"/>
    </xf>
    <xf numFmtId="0" fontId="0" fillId="0" borderId="71" xfId="0" applyBorder="1" applyAlignment="1">
      <alignment vertical="center" wrapText="1"/>
    </xf>
    <xf numFmtId="5" fontId="0" fillId="8" borderId="73" xfId="0" applyNumberFormat="1" applyFill="1" applyBorder="1" applyAlignment="1">
      <alignment vertical="center"/>
    </xf>
    <xf numFmtId="0" fontId="0" fillId="8" borderId="68" xfId="0" applyFill="1" applyBorder="1" applyAlignment="1">
      <alignment horizontal="right" vertical="center"/>
    </xf>
    <xf numFmtId="0" fontId="0" fillId="8" borderId="76" xfId="0" applyFill="1" applyBorder="1" applyAlignment="1">
      <alignment horizontal="right" vertical="center"/>
    </xf>
    <xf numFmtId="0" fontId="15" fillId="0" borderId="70" xfId="0" applyFont="1" applyBorder="1">
      <alignment vertical="center"/>
    </xf>
    <xf numFmtId="0" fontId="15" fillId="0" borderId="74" xfId="0" applyFont="1" applyBorder="1">
      <alignment vertical="center"/>
    </xf>
    <xf numFmtId="0" fontId="15" fillId="0" borderId="71" xfId="0" applyFont="1" applyBorder="1">
      <alignment vertical="center"/>
    </xf>
    <xf numFmtId="187" fontId="15" fillId="8" borderId="72" xfId="0" applyNumberFormat="1" applyFont="1" applyFill="1" applyBorder="1">
      <alignment vertical="center"/>
    </xf>
    <xf numFmtId="184" fontId="15" fillId="8" borderId="76" xfId="0" applyNumberFormat="1" applyFont="1" applyFill="1" applyBorder="1">
      <alignment vertical="center"/>
    </xf>
    <xf numFmtId="0" fontId="15" fillId="8" borderId="76" xfId="0" applyFont="1" applyFill="1" applyBorder="1" applyAlignment="1">
      <alignment horizontal="right" vertical="center"/>
    </xf>
    <xf numFmtId="5" fontId="15" fillId="8" borderId="76" xfId="0" applyNumberFormat="1" applyFont="1" applyFill="1" applyBorder="1">
      <alignment vertical="center"/>
    </xf>
    <xf numFmtId="5" fontId="15" fillId="8" borderId="73" xfId="0" applyNumberFormat="1" applyFont="1" applyFill="1" applyBorder="1">
      <alignment vertical="center"/>
    </xf>
    <xf numFmtId="5" fontId="15" fillId="8" borderId="76" xfId="0" applyNumberFormat="1" applyFont="1" applyFill="1" applyBorder="1" applyAlignment="1">
      <alignment vertical="center"/>
    </xf>
    <xf numFmtId="187" fontId="0" fillId="8" borderId="77" xfId="0" applyNumberFormat="1" applyFill="1" applyBorder="1" applyAlignment="1">
      <alignment vertical="center"/>
    </xf>
    <xf numFmtId="187" fontId="0" fillId="8" borderId="72" xfId="0" applyNumberFormat="1" applyFill="1" applyBorder="1" applyAlignment="1">
      <alignment vertical="center"/>
    </xf>
    <xf numFmtId="184" fontId="0" fillId="8" borderId="68" xfId="0" applyNumberFormat="1" applyFill="1" applyBorder="1" applyAlignment="1">
      <alignment vertical="center"/>
    </xf>
    <xf numFmtId="184" fontId="0" fillId="8" borderId="76" xfId="0" applyNumberFormat="1" applyFill="1" applyBorder="1" applyAlignment="1">
      <alignment vertical="center"/>
    </xf>
    <xf numFmtId="5" fontId="0" fillId="8" borderId="68" xfId="0" applyNumberFormat="1" applyFill="1" applyBorder="1" applyAlignment="1">
      <alignment vertical="center"/>
    </xf>
    <xf numFmtId="5" fontId="0" fillId="8" borderId="76" xfId="0" applyNumberFormat="1" applyFill="1" applyBorder="1" applyAlignment="1">
      <alignment vertical="center"/>
    </xf>
    <xf numFmtId="5" fontId="0" fillId="8" borderId="69" xfId="0" applyNumberFormat="1" applyFill="1" applyBorder="1" applyAlignment="1">
      <alignment vertical="center"/>
    </xf>
    <xf numFmtId="0" fontId="7" fillId="0" borderId="75" xfId="0" applyFont="1" applyBorder="1" applyAlignment="1">
      <alignment vertical="top" wrapText="1"/>
    </xf>
    <xf numFmtId="0" fontId="0" fillId="0" borderId="75" xfId="0" applyBorder="1">
      <alignment vertical="center"/>
    </xf>
    <xf numFmtId="187" fontId="0" fillId="8" borderId="78" xfId="0" applyNumberFormat="1" applyFill="1" applyBorder="1">
      <alignment vertical="center"/>
    </xf>
    <xf numFmtId="0" fontId="27" fillId="4" borderId="39" xfId="0" applyFont="1" applyFill="1" applyBorder="1" applyAlignment="1">
      <alignment vertical="top"/>
    </xf>
    <xf numFmtId="0" fontId="27" fillId="4" borderId="5" xfId="0" applyFont="1" applyFill="1" applyBorder="1" applyAlignment="1">
      <alignment horizontal="right" vertical="center"/>
    </xf>
    <xf numFmtId="9" fontId="27" fillId="4" borderId="79" xfId="0" applyNumberFormat="1" applyFont="1" applyFill="1" applyBorder="1" applyAlignment="1">
      <alignment horizontal="right" vertical="center"/>
    </xf>
    <xf numFmtId="183" fontId="0" fillId="0" borderId="68" xfId="0" applyNumberFormat="1" applyBorder="1" applyAlignment="1">
      <alignment vertical="top"/>
    </xf>
    <xf numFmtId="184" fontId="0" fillId="0" borderId="68" xfId="0" applyNumberFormat="1" applyBorder="1" applyAlignment="1">
      <alignment vertical="top"/>
    </xf>
    <xf numFmtId="0" fontId="0" fillId="5" borderId="68" xfId="0" applyFill="1" applyBorder="1" applyAlignment="1">
      <alignment vertical="center" wrapText="1"/>
    </xf>
    <xf numFmtId="0" fontId="0" fillId="0" borderId="68" xfId="0" applyFill="1" applyBorder="1" applyAlignment="1">
      <alignment vertical="top" wrapText="1"/>
    </xf>
    <xf numFmtId="0" fontId="0" fillId="7" borderId="66" xfId="0" applyFill="1" applyBorder="1" applyAlignment="1">
      <alignment vertical="top" wrapText="1"/>
    </xf>
    <xf numFmtId="0" fontId="0" fillId="5" borderId="66" xfId="0" applyFill="1" applyBorder="1" applyAlignment="1">
      <alignment vertical="top" wrapText="1"/>
    </xf>
    <xf numFmtId="188" fontId="0" fillId="0" borderId="68" xfId="0" applyNumberFormat="1" applyBorder="1" applyAlignment="1">
      <alignment vertical="top"/>
    </xf>
    <xf numFmtId="5" fontId="0" fillId="3" borderId="69" xfId="0" applyNumberFormat="1" applyFill="1" applyBorder="1" applyAlignment="1">
      <alignment vertical="top"/>
    </xf>
    <xf numFmtId="5" fontId="0" fillId="3" borderId="73" xfId="0" applyNumberFormat="1" applyFill="1" applyBorder="1" applyAlignment="1">
      <alignment vertical="top"/>
    </xf>
    <xf numFmtId="5" fontId="1" fillId="3" borderId="73" xfId="0" applyNumberFormat="1" applyFont="1" applyFill="1" applyBorder="1" applyAlignment="1">
      <alignment vertical="center"/>
    </xf>
    <xf numFmtId="0" fontId="0" fillId="0" borderId="10" xfId="0" applyBorder="1" applyAlignment="1">
      <alignment vertical="center" wrapText="1"/>
    </xf>
    <xf numFmtId="5" fontId="17" fillId="0" borderId="80" xfId="2" applyNumberFormat="1" applyFont="1" applyBorder="1" applyAlignment="1">
      <alignment horizontal="right" vertical="center"/>
    </xf>
    <xf numFmtId="5" fontId="1" fillId="0" borderId="40" xfId="2" applyNumberFormat="1" applyBorder="1" applyAlignment="1">
      <alignment horizontal="right" vertical="center"/>
    </xf>
    <xf numFmtId="0" fontId="0" fillId="0" borderId="71" xfId="0" applyFill="1" applyBorder="1" applyAlignment="1">
      <alignment vertical="center" wrapText="1"/>
    </xf>
    <xf numFmtId="5" fontId="0" fillId="3" borderId="73" xfId="0" applyNumberFormat="1" applyFill="1" applyBorder="1" applyAlignment="1">
      <alignment vertical="center"/>
    </xf>
    <xf numFmtId="0" fontId="1" fillId="0" borderId="71" xfId="0" applyFont="1" applyBorder="1" applyAlignment="1">
      <alignment vertical="top" wrapText="1"/>
    </xf>
    <xf numFmtId="0" fontId="1" fillId="0" borderId="71" xfId="0" applyFont="1" applyFill="1" applyBorder="1" applyAlignment="1">
      <alignment vertical="top" wrapText="1"/>
    </xf>
    <xf numFmtId="5" fontId="1" fillId="3" borderId="69" xfId="0" applyNumberFormat="1" applyFont="1" applyFill="1" applyBorder="1" applyAlignment="1">
      <alignment vertical="top"/>
    </xf>
    <xf numFmtId="5" fontId="1" fillId="3" borderId="73" xfId="0" applyNumberFormat="1" applyFont="1" applyFill="1" applyBorder="1" applyAlignment="1">
      <alignment vertical="top"/>
    </xf>
    <xf numFmtId="0" fontId="8" fillId="0" borderId="18" xfId="0" applyFont="1" applyFill="1" applyBorder="1" applyAlignment="1">
      <alignment vertical="top"/>
    </xf>
    <xf numFmtId="9" fontId="0" fillId="0" borderId="0" xfId="0" applyNumberFormat="1" applyAlignment="1">
      <alignment vertical="top"/>
    </xf>
    <xf numFmtId="9" fontId="3" fillId="0" borderId="18" xfId="0" applyNumberFormat="1" applyFont="1" applyFill="1" applyBorder="1" applyAlignment="1">
      <alignment vertical="top"/>
    </xf>
    <xf numFmtId="9" fontId="0" fillId="0" borderId="0" xfId="0" applyNumberFormat="1" applyBorder="1" applyAlignment="1">
      <alignment vertical="top"/>
    </xf>
    <xf numFmtId="9" fontId="0" fillId="0" borderId="0" xfId="0" applyNumberFormat="1" applyFill="1" applyBorder="1" applyAlignment="1">
      <alignment vertical="top"/>
    </xf>
    <xf numFmtId="9" fontId="8" fillId="0" borderId="18" xfId="0" applyNumberFormat="1" applyFont="1" applyFill="1" applyBorder="1" applyAlignment="1">
      <alignment vertical="top"/>
    </xf>
    <xf numFmtId="0" fontId="27" fillId="4" borderId="37" xfId="0" applyFont="1" applyFill="1" applyBorder="1" applyAlignment="1">
      <alignment vertical="top"/>
    </xf>
    <xf numFmtId="184" fontId="15" fillId="0" borderId="77" xfId="0" applyNumberFormat="1" applyFont="1" applyBorder="1" applyAlignment="1">
      <alignment vertical="top"/>
    </xf>
    <xf numFmtId="184" fontId="15" fillId="0" borderId="72" xfId="0" applyNumberFormat="1" applyFont="1" applyBorder="1" applyAlignment="1">
      <alignment vertical="top"/>
    </xf>
    <xf numFmtId="184" fontId="1" fillId="8" borderId="72" xfId="0" applyNumberFormat="1" applyFont="1" applyFill="1" applyBorder="1" applyAlignment="1">
      <alignment vertical="center"/>
    </xf>
    <xf numFmtId="184" fontId="0" fillId="8" borderId="72" xfId="0" applyNumberFormat="1" applyFill="1" applyBorder="1" applyAlignment="1">
      <alignment vertical="center"/>
    </xf>
    <xf numFmtId="184" fontId="0" fillId="0" borderId="66" xfId="0" applyNumberFormat="1" applyBorder="1" applyAlignment="1">
      <alignment vertical="top"/>
    </xf>
    <xf numFmtId="9" fontId="0" fillId="0" borderId="38" xfId="0" applyNumberFormat="1" applyBorder="1" applyAlignment="1">
      <alignment vertical="top"/>
    </xf>
    <xf numFmtId="0" fontId="0" fillId="0" borderId="39" xfId="0" applyBorder="1" applyAlignment="1">
      <alignment vertical="top"/>
    </xf>
    <xf numFmtId="9" fontId="0" fillId="0" borderId="68" xfId="0" applyNumberFormat="1" applyFill="1" applyBorder="1" applyAlignment="1">
      <alignment vertical="top" wrapText="1"/>
    </xf>
    <xf numFmtId="9" fontId="7" fillId="0" borderId="77" xfId="0" applyNumberFormat="1" applyFont="1" applyFill="1" applyBorder="1" applyAlignment="1">
      <alignment vertical="top" wrapText="1"/>
    </xf>
    <xf numFmtId="9" fontId="1" fillId="0" borderId="69" xfId="0" applyNumberFormat="1" applyFont="1" applyFill="1" applyBorder="1" applyAlignment="1">
      <alignment vertical="top" wrapText="1"/>
    </xf>
    <xf numFmtId="0" fontId="0" fillId="0" borderId="41" xfId="0" applyBorder="1" applyAlignment="1">
      <alignment vertical="top"/>
    </xf>
    <xf numFmtId="9" fontId="0" fillId="0" borderId="81" xfId="0" applyNumberFormat="1" applyFill="1" applyBorder="1" applyAlignment="1">
      <alignment vertical="top" wrapText="1"/>
    </xf>
    <xf numFmtId="184" fontId="1" fillId="8" borderId="12" xfId="0" applyNumberFormat="1" applyFont="1" applyFill="1" applyBorder="1" applyAlignment="1">
      <alignment vertical="center"/>
    </xf>
    <xf numFmtId="5" fontId="1" fillId="3" borderId="60" xfId="0" applyNumberFormat="1" applyFont="1" applyFill="1" applyBorder="1" applyAlignment="1">
      <alignment vertical="center"/>
    </xf>
    <xf numFmtId="9" fontId="0" fillId="0" borderId="12" xfId="0" applyNumberFormat="1" applyBorder="1" applyAlignment="1">
      <alignment vertical="top"/>
    </xf>
    <xf numFmtId="0" fontId="0" fillId="0" borderId="64" xfId="0" applyFill="1" applyBorder="1" applyAlignment="1">
      <alignment vertical="center" wrapText="1"/>
    </xf>
    <xf numFmtId="9" fontId="0" fillId="0" borderId="60" xfId="0" applyNumberFormat="1" applyBorder="1" applyAlignment="1">
      <alignment vertical="top"/>
    </xf>
    <xf numFmtId="0" fontId="0" fillId="0" borderId="82" xfId="0" applyBorder="1" applyAlignment="1">
      <alignment vertical="center" wrapText="1"/>
    </xf>
    <xf numFmtId="9" fontId="0" fillId="0" borderId="3" xfId="0" applyNumberFormat="1" applyBorder="1" applyAlignment="1">
      <alignment vertical="top"/>
    </xf>
    <xf numFmtId="0" fontId="15" fillId="0" borderId="10" xfId="0" applyFont="1" applyBorder="1">
      <alignment vertical="center"/>
    </xf>
    <xf numFmtId="0" fontId="15" fillId="0" borderId="14" xfId="0" applyFont="1" applyBorder="1">
      <alignment vertical="center"/>
    </xf>
    <xf numFmtId="9" fontId="0" fillId="0" borderId="16" xfId="0" applyNumberFormat="1" applyBorder="1" applyAlignment="1">
      <alignment vertical="top"/>
    </xf>
    <xf numFmtId="0" fontId="15" fillId="0" borderId="64" xfId="0" applyFont="1" applyBorder="1">
      <alignment vertical="center"/>
    </xf>
    <xf numFmtId="9" fontId="0" fillId="0" borderId="68" xfId="0" applyNumberFormat="1" applyBorder="1" applyAlignment="1">
      <alignment vertical="top"/>
    </xf>
    <xf numFmtId="9" fontId="0" fillId="0" borderId="77" xfId="0" applyNumberFormat="1" applyFill="1" applyBorder="1" applyAlignment="1">
      <alignment vertical="top" wrapText="1"/>
    </xf>
    <xf numFmtId="9" fontId="0" fillId="0" borderId="69" xfId="0" applyNumberFormat="1" applyBorder="1" applyAlignment="1">
      <alignment vertical="top"/>
    </xf>
    <xf numFmtId="9" fontId="0" fillId="0" borderId="81" xfId="0" applyNumberFormat="1" applyBorder="1" applyAlignment="1">
      <alignment vertical="top"/>
    </xf>
    <xf numFmtId="9" fontId="0" fillId="0" borderId="77" xfId="0" applyNumberFormat="1" applyBorder="1" applyAlignment="1">
      <alignment vertical="top"/>
    </xf>
    <xf numFmtId="184" fontId="0" fillId="8" borderId="12" xfId="0" applyNumberFormat="1" applyFill="1" applyBorder="1" applyAlignment="1">
      <alignment vertical="center"/>
    </xf>
    <xf numFmtId="187" fontId="0" fillId="8" borderId="12" xfId="0" applyNumberFormat="1" applyFill="1" applyBorder="1">
      <alignment vertical="center"/>
    </xf>
    <xf numFmtId="187" fontId="0" fillId="8" borderId="60" xfId="0" applyNumberFormat="1" applyFill="1" applyBorder="1">
      <alignment vertical="center"/>
    </xf>
    <xf numFmtId="0" fontId="0" fillId="0" borderId="64" xfId="0" applyBorder="1" applyAlignment="1">
      <alignment vertical="center" wrapText="1"/>
    </xf>
    <xf numFmtId="187" fontId="15" fillId="8" borderId="12" xfId="0" applyNumberFormat="1" applyFont="1" applyFill="1" applyBorder="1">
      <alignment vertical="center"/>
    </xf>
    <xf numFmtId="0" fontId="15" fillId="8" borderId="16" xfId="0" applyFont="1" applyFill="1" applyBorder="1" applyAlignment="1">
      <alignment horizontal="right" vertical="center"/>
    </xf>
    <xf numFmtId="5" fontId="15" fillId="8" borderId="16" xfId="0" applyNumberFormat="1" applyFont="1" applyFill="1" applyBorder="1" applyAlignment="1">
      <alignment vertical="center"/>
    </xf>
    <xf numFmtId="5" fontId="15" fillId="8" borderId="16" xfId="0" applyNumberFormat="1" applyFont="1" applyFill="1" applyBorder="1">
      <alignment vertical="center"/>
    </xf>
    <xf numFmtId="5" fontId="15" fillId="8" borderId="60" xfId="0" applyNumberFormat="1" applyFont="1" applyFill="1" applyBorder="1">
      <alignment vertical="center"/>
    </xf>
    <xf numFmtId="5" fontId="0" fillId="3" borderId="60" xfId="0" applyNumberFormat="1" applyFill="1" applyBorder="1" applyAlignment="1">
      <alignment vertical="center"/>
    </xf>
    <xf numFmtId="187" fontId="0" fillId="8" borderId="3" xfId="0" applyNumberFormat="1" applyFill="1" applyBorder="1">
      <alignment vertical="center"/>
    </xf>
    <xf numFmtId="0" fontId="0" fillId="0" borderId="82" xfId="0" applyBorder="1">
      <alignment vertical="center"/>
    </xf>
    <xf numFmtId="0" fontId="0" fillId="0" borderId="68" xfId="0" applyBorder="1" applyAlignment="1">
      <alignment horizontal="right" vertical="top"/>
    </xf>
    <xf numFmtId="0" fontId="0" fillId="0" borderId="40" xfId="0" applyBorder="1" applyAlignment="1">
      <alignment horizontal="right" vertical="center"/>
    </xf>
    <xf numFmtId="9" fontId="0" fillId="0" borderId="0" xfId="0" applyNumberFormat="1">
      <alignment vertical="center"/>
    </xf>
    <xf numFmtId="5" fontId="0" fillId="0" borderId="0" xfId="0" applyNumberFormat="1">
      <alignment vertical="center"/>
    </xf>
    <xf numFmtId="5" fontId="0" fillId="0" borderId="0" xfId="0" applyNumberFormat="1" applyFill="1">
      <alignment vertical="center"/>
    </xf>
    <xf numFmtId="0" fontId="0" fillId="3" borderId="0" xfId="0" applyFill="1">
      <alignment vertical="center"/>
    </xf>
    <xf numFmtId="0" fontId="0" fillId="9" borderId="0" xfId="0" applyFill="1">
      <alignment vertical="center"/>
    </xf>
    <xf numFmtId="5" fontId="0" fillId="9" borderId="0" xfId="0" applyNumberFormat="1" applyFill="1">
      <alignment vertical="center"/>
    </xf>
    <xf numFmtId="0" fontId="32" fillId="0" borderId="0" xfId="0" applyFont="1" applyFill="1">
      <alignment vertical="center"/>
    </xf>
    <xf numFmtId="6" fontId="0" fillId="0" borderId="0" xfId="0" applyNumberFormat="1">
      <alignment vertical="center"/>
    </xf>
    <xf numFmtId="0" fontId="0" fillId="0" borderId="2" xfId="0" applyBorder="1" applyAlignment="1">
      <alignment horizontal="center" vertical="center"/>
    </xf>
    <xf numFmtId="178" fontId="0" fillId="0" borderId="2" xfId="0" applyNumberFormat="1" applyBorder="1" applyAlignment="1">
      <alignment horizontal="right" vertical="center"/>
    </xf>
    <xf numFmtId="0" fontId="4" fillId="0" borderId="2" xfId="0" applyFont="1" applyBorder="1">
      <alignment vertical="center"/>
    </xf>
    <xf numFmtId="178" fontId="0" fillId="0" borderId="1" xfId="0" applyNumberFormat="1" applyBorder="1" applyAlignment="1">
      <alignment horizontal="left" vertical="center"/>
    </xf>
    <xf numFmtId="0" fontId="0" fillId="5" borderId="0" xfId="0" applyFill="1" applyAlignment="1">
      <alignment vertical="center" wrapText="1"/>
    </xf>
    <xf numFmtId="0" fontId="0" fillId="8" borderId="0" xfId="0" applyFill="1" applyAlignment="1">
      <alignment vertical="center" wrapText="1"/>
    </xf>
    <xf numFmtId="0" fontId="0" fillId="0" borderId="83" xfId="0" applyBorder="1">
      <alignment vertical="center"/>
    </xf>
    <xf numFmtId="0" fontId="0" fillId="0" borderId="84" xfId="0" applyBorder="1">
      <alignment vertical="center"/>
    </xf>
    <xf numFmtId="0" fontId="31" fillId="0" borderId="0" xfId="0" applyFont="1">
      <alignment vertical="center"/>
    </xf>
    <xf numFmtId="0" fontId="0" fillId="0" borderId="0" xfId="0" applyAlignment="1">
      <alignment vertical="center"/>
    </xf>
    <xf numFmtId="0" fontId="20" fillId="0" borderId="0" xfId="0" applyFont="1">
      <alignment vertical="center"/>
    </xf>
    <xf numFmtId="189" fontId="0" fillId="0" borderId="0" xfId="0" applyNumberFormat="1" applyBorder="1" applyAlignment="1">
      <alignment horizontal="right" vertical="center"/>
    </xf>
    <xf numFmtId="0" fontId="0" fillId="0" borderId="54" xfId="0" applyBorder="1">
      <alignment vertical="center"/>
    </xf>
    <xf numFmtId="0" fontId="0" fillId="0" borderId="85" xfId="0" applyBorder="1">
      <alignment vertical="center"/>
    </xf>
    <xf numFmtId="0" fontId="0" fillId="0" borderId="86" xfId="0" applyBorder="1">
      <alignment vertical="center"/>
    </xf>
    <xf numFmtId="194" fontId="0" fillId="0" borderId="0" xfId="0" applyNumberFormat="1" applyBorder="1" applyAlignment="1">
      <alignment horizontal="right" vertical="center"/>
    </xf>
    <xf numFmtId="0" fontId="0" fillId="0" borderId="87" xfId="0" applyBorder="1">
      <alignment vertical="center"/>
    </xf>
    <xf numFmtId="0" fontId="0" fillId="0" borderId="88" xfId="0" applyBorder="1">
      <alignment vertical="center"/>
    </xf>
    <xf numFmtId="0" fontId="0" fillId="0" borderId="89" xfId="0" applyBorder="1">
      <alignment vertical="center"/>
    </xf>
    <xf numFmtId="0" fontId="0" fillId="0" borderId="90" xfId="0" applyBorder="1">
      <alignment vertical="center"/>
    </xf>
    <xf numFmtId="0" fontId="0" fillId="0" borderId="91" xfId="0" applyBorder="1">
      <alignment vertical="center"/>
    </xf>
    <xf numFmtId="0" fontId="0" fillId="0" borderId="92" xfId="0" applyBorder="1">
      <alignment vertical="center"/>
    </xf>
    <xf numFmtId="194" fontId="34" fillId="0" borderId="0" xfId="0" applyNumberFormat="1" applyFont="1" applyBorder="1" applyAlignment="1">
      <alignment horizontal="right" vertical="center"/>
    </xf>
    <xf numFmtId="179" fontId="33" fillId="0" borderId="0" xfId="0" applyNumberFormat="1" applyFont="1" applyBorder="1" applyAlignment="1">
      <alignment horizontal="right" vertical="center"/>
    </xf>
    <xf numFmtId="9" fontId="33" fillId="0" borderId="0" xfId="0" applyNumberFormat="1" applyFont="1" applyBorder="1" applyAlignment="1">
      <alignment horizontal="right" vertical="center"/>
    </xf>
    <xf numFmtId="0" fontId="1" fillId="0" borderId="0" xfId="2" applyFont="1"/>
    <xf numFmtId="6" fontId="1" fillId="0" borderId="0" xfId="2" applyNumberFormat="1"/>
    <xf numFmtId="6" fontId="1" fillId="0" borderId="0" xfId="2" applyNumberFormat="1" applyFont="1"/>
    <xf numFmtId="6" fontId="36" fillId="0" borderId="0" xfId="0" applyNumberFormat="1" applyFont="1">
      <alignment vertical="center"/>
    </xf>
    <xf numFmtId="5" fontId="36" fillId="0" borderId="0" xfId="0" applyNumberFormat="1" applyFont="1">
      <alignment vertical="center"/>
    </xf>
    <xf numFmtId="0" fontId="0" fillId="0" borderId="0" xfId="0" applyBorder="1" applyAlignment="1">
      <alignment vertical="center"/>
    </xf>
    <xf numFmtId="0" fontId="0" fillId="0" borderId="0" xfId="0" applyFill="1" applyAlignment="1">
      <alignment vertical="center" wrapText="1"/>
    </xf>
    <xf numFmtId="0" fontId="0" fillId="9" borderId="0" xfId="0" applyFill="1" applyAlignment="1">
      <alignment vertical="center" wrapText="1"/>
    </xf>
    <xf numFmtId="204" fontId="0" fillId="0" borderId="0" xfId="0" applyNumberFormat="1">
      <alignment vertical="center"/>
    </xf>
    <xf numFmtId="0" fontId="37" fillId="0" borderId="0" xfId="0" applyFont="1">
      <alignment vertical="center"/>
    </xf>
    <xf numFmtId="0" fontId="37" fillId="0" borderId="0" xfId="0" applyFont="1" applyAlignment="1">
      <alignment horizontal="right" vertical="center"/>
    </xf>
    <xf numFmtId="9" fontId="0" fillId="0" borderId="0" xfId="0" applyNumberFormat="1" applyAlignment="1">
      <alignment horizontal="left" vertical="center"/>
    </xf>
    <xf numFmtId="0" fontId="38" fillId="0" borderId="0" xfId="0" applyFont="1">
      <alignment vertical="center"/>
    </xf>
    <xf numFmtId="0" fontId="19" fillId="0" borderId="0" xfId="0" applyFont="1">
      <alignment vertical="center"/>
    </xf>
    <xf numFmtId="207" fontId="0" fillId="0" borderId="0" xfId="0" applyNumberFormat="1">
      <alignment vertical="center"/>
    </xf>
    <xf numFmtId="186" fontId="0" fillId="0" borderId="0" xfId="0" applyNumberFormat="1">
      <alignment vertical="center"/>
    </xf>
    <xf numFmtId="186" fontId="0" fillId="0" borderId="68" xfId="0" applyNumberFormat="1" applyBorder="1">
      <alignment vertical="center"/>
    </xf>
    <xf numFmtId="186" fontId="0" fillId="0" borderId="68" xfId="0" applyNumberFormat="1" applyFill="1" applyBorder="1">
      <alignment vertical="center"/>
    </xf>
    <xf numFmtId="186" fontId="0" fillId="0" borderId="93" xfId="0" applyNumberFormat="1" applyBorder="1">
      <alignment vertical="center"/>
    </xf>
    <xf numFmtId="0" fontId="33" fillId="0" borderId="0" xfId="0" applyFont="1">
      <alignment vertical="center"/>
    </xf>
    <xf numFmtId="0" fontId="0" fillId="0" borderId="0" xfId="0" applyAlignment="1">
      <alignment horizontal="right" vertical="center"/>
    </xf>
    <xf numFmtId="7" fontId="0" fillId="0" borderId="0" xfId="0" applyNumberFormat="1">
      <alignment vertical="center"/>
    </xf>
    <xf numFmtId="0" fontId="1" fillId="0" borderId="0" xfId="0" applyFont="1" applyFill="1">
      <alignment vertical="center"/>
    </xf>
    <xf numFmtId="5" fontId="1" fillId="0" borderId="0" xfId="0" applyNumberFormat="1" applyFont="1" applyFill="1">
      <alignment vertical="center"/>
    </xf>
    <xf numFmtId="0" fontId="3" fillId="0" borderId="0" xfId="0" applyFont="1" applyFill="1" applyBorder="1" applyAlignment="1">
      <alignment vertical="top" wrapText="1"/>
    </xf>
    <xf numFmtId="0" fontId="39" fillId="0" borderId="0" xfId="0" applyFont="1" applyFill="1" applyBorder="1">
      <alignment vertical="center"/>
    </xf>
    <xf numFmtId="0" fontId="3" fillId="0" borderId="94" xfId="0" applyFont="1" applyFill="1" applyBorder="1" applyAlignment="1">
      <alignment vertical="center"/>
    </xf>
    <xf numFmtId="0" fontId="3" fillId="0" borderId="56" xfId="0" applyFont="1" applyFill="1" applyBorder="1" applyAlignment="1">
      <alignment vertical="center"/>
    </xf>
    <xf numFmtId="0" fontId="3" fillId="0" borderId="0" xfId="0" applyFont="1" applyFill="1" applyBorder="1" applyAlignment="1">
      <alignment horizontal="center" vertical="center" wrapText="1"/>
    </xf>
    <xf numFmtId="0" fontId="8" fillId="0" borderId="13" xfId="0" applyFont="1" applyFill="1" applyBorder="1">
      <alignment vertical="center"/>
    </xf>
    <xf numFmtId="0" fontId="3" fillId="0" borderId="7" xfId="0" applyFont="1" applyFill="1" applyBorder="1" applyAlignment="1">
      <alignment horizontal="right" vertical="center"/>
    </xf>
    <xf numFmtId="0" fontId="40" fillId="0" borderId="94" xfId="0" applyFont="1" applyFill="1" applyBorder="1">
      <alignment vertical="center"/>
    </xf>
    <xf numFmtId="0" fontId="8" fillId="0" borderId="94" xfId="0" applyFont="1" applyFill="1" applyBorder="1">
      <alignment vertical="center"/>
    </xf>
    <xf numFmtId="0" fontId="8" fillId="0" borderId="56" xfId="0" applyFont="1" applyFill="1" applyBorder="1">
      <alignment vertical="center"/>
    </xf>
    <xf numFmtId="0" fontId="3" fillId="0" borderId="56" xfId="0" applyFont="1" applyBorder="1">
      <alignment vertical="center"/>
    </xf>
    <xf numFmtId="0" fontId="8" fillId="0" borderId="57" xfId="0" applyFont="1" applyBorder="1">
      <alignment vertical="center"/>
    </xf>
    <xf numFmtId="0" fontId="8" fillId="0" borderId="56" xfId="0" applyFont="1" applyBorder="1">
      <alignment vertical="center"/>
    </xf>
    <xf numFmtId="0" fontId="8" fillId="0" borderId="7" xfId="0" applyFont="1" applyBorder="1">
      <alignment vertical="center"/>
    </xf>
    <xf numFmtId="0" fontId="3" fillId="0" borderId="7" xfId="0" applyFont="1" applyBorder="1">
      <alignment vertical="center"/>
    </xf>
    <xf numFmtId="0" fontId="40" fillId="0" borderId="56" xfId="0" applyFont="1" applyFill="1" applyBorder="1">
      <alignment vertical="center"/>
    </xf>
    <xf numFmtId="0" fontId="3" fillId="0" borderId="57" xfId="0" applyFont="1" applyFill="1" applyBorder="1">
      <alignment vertical="center"/>
    </xf>
    <xf numFmtId="0" fontId="41" fillId="0" borderId="56" xfId="0" applyFont="1" applyFill="1" applyBorder="1">
      <alignment vertical="center"/>
    </xf>
    <xf numFmtId="0" fontId="8" fillId="0" borderId="54" xfId="0" applyFont="1" applyBorder="1">
      <alignment vertical="center"/>
    </xf>
    <xf numFmtId="0" fontId="3" fillId="0" borderId="55" xfId="0" applyFont="1" applyBorder="1">
      <alignment vertical="center"/>
    </xf>
    <xf numFmtId="0" fontId="3" fillId="0" borderId="9" xfId="0" applyFont="1" applyBorder="1">
      <alignment vertical="center"/>
    </xf>
    <xf numFmtId="0" fontId="8" fillId="0" borderId="54" xfId="0" applyFont="1" applyBorder="1" applyAlignment="1">
      <alignment horizontal="right" vertical="center"/>
    </xf>
    <xf numFmtId="0" fontId="8" fillId="0" borderId="95" xfId="0" applyFont="1" applyBorder="1">
      <alignment vertical="center"/>
    </xf>
    <xf numFmtId="0" fontId="8" fillId="0" borderId="96" xfId="0" applyFont="1" applyBorder="1" applyAlignment="1">
      <alignment horizontal="right" vertical="center"/>
    </xf>
    <xf numFmtId="0" fontId="8" fillId="0" borderId="84" xfId="0" applyFont="1" applyBorder="1">
      <alignment vertical="center"/>
    </xf>
    <xf numFmtId="0" fontId="8" fillId="0" borderId="83" xfId="0" applyFont="1" applyBorder="1" applyAlignment="1">
      <alignment horizontal="right" vertical="center"/>
    </xf>
    <xf numFmtId="0" fontId="3" fillId="0" borderId="95" xfId="0" applyFont="1" applyBorder="1">
      <alignment vertical="center"/>
    </xf>
    <xf numFmtId="0" fontId="3" fillId="0" borderId="84" xfId="0" applyFont="1" applyBorder="1">
      <alignment vertical="center"/>
    </xf>
    <xf numFmtId="0" fontId="8" fillId="0" borderId="0" xfId="0" applyFont="1" applyBorder="1" applyAlignment="1">
      <alignment horizontal="right" vertical="center"/>
    </xf>
    <xf numFmtId="0" fontId="3" fillId="0" borderId="57" xfId="0" applyFont="1" applyBorder="1">
      <alignment vertical="center"/>
    </xf>
    <xf numFmtId="0" fontId="8" fillId="0" borderId="97" xfId="0" applyFont="1" applyBorder="1">
      <alignment vertical="center"/>
    </xf>
    <xf numFmtId="0" fontId="8" fillId="0" borderId="98" xfId="0" applyFont="1" applyBorder="1" applyAlignment="1">
      <alignment horizontal="right" vertical="center"/>
    </xf>
    <xf numFmtId="0" fontId="3" fillId="0" borderId="97" xfId="0" applyFont="1" applyBorder="1">
      <alignment vertical="center"/>
    </xf>
    <xf numFmtId="0" fontId="8" fillId="0" borderId="7" xfId="0" applyFont="1" applyBorder="1" applyAlignment="1">
      <alignment horizontal="right" vertical="center"/>
    </xf>
    <xf numFmtId="0" fontId="3" fillId="0" borderId="54" xfId="0" applyFont="1" applyFill="1" applyBorder="1" applyAlignment="1">
      <alignment horizontal="center" vertical="center" wrapText="1"/>
    </xf>
    <xf numFmtId="0" fontId="3" fillId="0" borderId="54" xfId="0" applyFont="1" applyFill="1" applyBorder="1" applyAlignment="1">
      <alignment vertical="center"/>
    </xf>
    <xf numFmtId="0" fontId="27" fillId="10" borderId="99" xfId="0" applyFont="1" applyFill="1" applyBorder="1" applyAlignment="1">
      <alignment vertical="center"/>
    </xf>
    <xf numFmtId="0" fontId="0" fillId="10" borderId="99" xfId="0" applyFill="1" applyBorder="1">
      <alignment vertical="center"/>
    </xf>
    <xf numFmtId="0" fontId="0" fillId="10" borderId="99" xfId="0" applyFill="1" applyBorder="1" applyAlignment="1">
      <alignment vertical="center"/>
    </xf>
    <xf numFmtId="0" fontId="0" fillId="10" borderId="100" xfId="0" applyFill="1" applyBorder="1" applyAlignment="1">
      <alignment vertical="center"/>
    </xf>
    <xf numFmtId="0" fontId="27" fillId="10" borderId="101" xfId="0" applyFont="1" applyFill="1" applyBorder="1" applyAlignment="1">
      <alignment vertical="center"/>
    </xf>
    <xf numFmtId="0" fontId="0" fillId="10" borderId="101" xfId="0" applyFill="1" applyBorder="1">
      <alignment vertical="center"/>
    </xf>
    <xf numFmtId="0" fontId="0" fillId="10" borderId="101" xfId="0" applyFill="1" applyBorder="1" applyAlignment="1">
      <alignment vertical="center"/>
    </xf>
    <xf numFmtId="0" fontId="0" fillId="10" borderId="102" xfId="0" applyFill="1" applyBorder="1" applyAlignment="1">
      <alignment vertical="center"/>
    </xf>
    <xf numFmtId="228" fontId="0" fillId="0" borderId="68" xfId="0" applyNumberFormat="1" applyBorder="1" applyAlignment="1">
      <alignment vertical="top"/>
    </xf>
    <xf numFmtId="228" fontId="15" fillId="0" borderId="81" xfId="0" applyNumberFormat="1" applyFont="1" applyBorder="1" applyAlignment="1">
      <alignment vertical="top"/>
    </xf>
    <xf numFmtId="228" fontId="15" fillId="0" borderId="78" xfId="0" applyNumberFormat="1" applyFont="1" applyBorder="1" applyAlignment="1">
      <alignment vertical="top"/>
    </xf>
    <xf numFmtId="228" fontId="0" fillId="8" borderId="3" xfId="0" applyNumberFormat="1" applyFill="1" applyBorder="1" applyAlignment="1">
      <alignment vertical="center"/>
    </xf>
    <xf numFmtId="228" fontId="0" fillId="8" borderId="78" xfId="0" applyNumberFormat="1" applyFill="1" applyBorder="1" applyAlignment="1">
      <alignment vertical="center"/>
    </xf>
    <xf numFmtId="228" fontId="0" fillId="0" borderId="66" xfId="0" applyNumberFormat="1" applyBorder="1" applyAlignment="1">
      <alignment vertical="top"/>
    </xf>
    <xf numFmtId="0" fontId="12" fillId="2" borderId="29" xfId="0" applyFont="1" applyFill="1" applyBorder="1" applyAlignment="1">
      <alignment vertical="center"/>
    </xf>
    <xf numFmtId="0" fontId="12" fillId="2" borderId="15" xfId="0" applyFont="1" applyFill="1" applyBorder="1" applyAlignment="1">
      <alignment vertical="center"/>
    </xf>
    <xf numFmtId="0" fontId="12" fillId="2" borderId="25" xfId="0" applyFont="1" applyFill="1" applyBorder="1" applyAlignment="1">
      <alignment vertical="center"/>
    </xf>
    <xf numFmtId="0" fontId="37" fillId="0" borderId="0" xfId="0" applyFont="1" applyBorder="1">
      <alignment vertical="center"/>
    </xf>
    <xf numFmtId="0" fontId="37" fillId="0" borderId="0" xfId="0" applyFont="1" applyFill="1" applyBorder="1" applyAlignment="1">
      <alignment vertical="center"/>
    </xf>
    <xf numFmtId="0" fontId="43" fillId="0" borderId="0" xfId="0" applyFont="1">
      <alignment vertical="center"/>
    </xf>
    <xf numFmtId="186" fontId="37" fillId="0" borderId="103" xfId="0" applyNumberFormat="1" applyFont="1" applyBorder="1" applyAlignment="1">
      <alignment horizontal="center" vertical="center"/>
    </xf>
    <xf numFmtId="186" fontId="37" fillId="0" borderId="104" xfId="0" applyNumberFormat="1" applyFont="1" applyBorder="1" applyAlignment="1">
      <alignment horizontal="center" vertical="center"/>
    </xf>
    <xf numFmtId="186" fontId="37" fillId="0" borderId="105" xfId="0" applyNumberFormat="1" applyFont="1" applyBorder="1" applyAlignment="1">
      <alignment horizontal="center" vertical="center"/>
    </xf>
    <xf numFmtId="179" fontId="0" fillId="0" borderId="68" xfId="0" applyNumberFormat="1" applyBorder="1">
      <alignment vertical="center"/>
    </xf>
    <xf numFmtId="9" fontId="37" fillId="0" borderId="106" xfId="0" applyNumberFormat="1" applyFont="1" applyBorder="1">
      <alignment vertical="center"/>
    </xf>
    <xf numFmtId="9" fontId="37" fillId="0" borderId="77" xfId="0" applyNumberFormat="1" applyFont="1" applyBorder="1">
      <alignment vertical="center"/>
    </xf>
    <xf numFmtId="9" fontId="37" fillId="0" borderId="72" xfId="0" applyNumberFormat="1" applyFont="1" applyBorder="1">
      <alignment vertical="center"/>
    </xf>
    <xf numFmtId="179" fontId="37" fillId="0" borderId="25" xfId="0" applyNumberFormat="1" applyFont="1" applyBorder="1">
      <alignment vertical="center"/>
    </xf>
    <xf numFmtId="179" fontId="37" fillId="0" borderId="68" xfId="0" applyNumberFormat="1" applyFont="1" applyBorder="1">
      <alignment vertical="center"/>
    </xf>
    <xf numFmtId="179" fontId="37" fillId="0" borderId="76" xfId="0" applyNumberFormat="1" applyFont="1" applyBorder="1">
      <alignment vertical="center"/>
    </xf>
    <xf numFmtId="179" fontId="37" fillId="0" borderId="107" xfId="0" applyNumberFormat="1" applyFont="1" applyBorder="1">
      <alignment vertical="center"/>
    </xf>
    <xf numFmtId="179" fontId="37" fillId="0" borderId="69" xfId="0" applyNumberFormat="1" applyFont="1" applyBorder="1">
      <alignment vertical="center"/>
    </xf>
    <xf numFmtId="179" fontId="37" fillId="0" borderId="73" xfId="0" applyNumberFormat="1" applyFont="1" applyBorder="1">
      <alignment vertical="center"/>
    </xf>
    <xf numFmtId="9" fontId="43" fillId="8" borderId="70" xfId="0" applyNumberFormat="1" applyFont="1" applyFill="1" applyBorder="1" applyAlignment="1">
      <alignment vertical="center"/>
    </xf>
    <xf numFmtId="9" fontId="43" fillId="8" borderId="106" xfId="0" applyNumberFormat="1" applyFont="1" applyFill="1" applyBorder="1" applyAlignment="1">
      <alignment vertical="center"/>
    </xf>
    <xf numFmtId="179" fontId="43" fillId="8" borderId="74" xfId="0" applyNumberFormat="1" applyFont="1" applyFill="1" applyBorder="1" applyAlignment="1">
      <alignment vertical="center"/>
    </xf>
    <xf numFmtId="179" fontId="43" fillId="8" borderId="25" xfId="0" applyNumberFormat="1" applyFont="1" applyFill="1" applyBorder="1" applyAlignment="1">
      <alignment vertical="center"/>
    </xf>
    <xf numFmtId="179" fontId="43" fillId="8" borderId="71" xfId="0" applyNumberFormat="1" applyFont="1" applyFill="1" applyBorder="1" applyAlignment="1">
      <alignment vertical="center"/>
    </xf>
    <xf numFmtId="179" fontId="43" fillId="8" borderId="107" xfId="0" applyNumberFormat="1" applyFont="1" applyFill="1" applyBorder="1" applyAlignment="1">
      <alignment vertical="center"/>
    </xf>
    <xf numFmtId="0" fontId="43" fillId="11" borderId="108" xfId="0" applyFont="1" applyFill="1" applyBorder="1">
      <alignment vertical="center"/>
    </xf>
    <xf numFmtId="0" fontId="43" fillId="8" borderId="109" xfId="0" applyFont="1" applyFill="1" applyBorder="1">
      <alignment vertical="center"/>
    </xf>
    <xf numFmtId="0" fontId="43" fillId="8" borderId="110" xfId="0" applyFont="1" applyFill="1" applyBorder="1">
      <alignment vertical="center"/>
    </xf>
    <xf numFmtId="0" fontId="43" fillId="8" borderId="111" xfId="0" applyFont="1" applyFill="1" applyBorder="1">
      <alignment vertical="center"/>
    </xf>
    <xf numFmtId="186" fontId="43" fillId="0" borderId="70" xfId="0" applyNumberFormat="1" applyFont="1" applyBorder="1" applyAlignment="1">
      <alignment horizontal="center" vertical="center"/>
    </xf>
    <xf numFmtId="186" fontId="43" fillId="0" borderId="77" xfId="0" applyNumberFormat="1" applyFont="1" applyBorder="1" applyAlignment="1">
      <alignment horizontal="center" vertical="center"/>
    </xf>
    <xf numFmtId="186" fontId="43" fillId="0" borderId="72" xfId="0" applyNumberFormat="1" applyFont="1" applyBorder="1" applyAlignment="1">
      <alignment horizontal="center" vertical="center"/>
    </xf>
    <xf numFmtId="38" fontId="43" fillId="11" borderId="112" xfId="0" applyNumberFormat="1" applyFont="1" applyFill="1" applyBorder="1">
      <alignment vertical="center"/>
    </xf>
    <xf numFmtId="38" fontId="43" fillId="11" borderId="81" xfId="0" applyNumberFormat="1" applyFont="1" applyFill="1" applyBorder="1">
      <alignment vertical="center"/>
    </xf>
    <xf numFmtId="38" fontId="43" fillId="11" borderId="78" xfId="0" applyNumberFormat="1" applyFont="1" applyFill="1" applyBorder="1">
      <alignment vertical="center"/>
    </xf>
    <xf numFmtId="38" fontId="43" fillId="8" borderId="113" xfId="0" applyNumberFormat="1" applyFont="1" applyFill="1" applyBorder="1">
      <alignment vertical="center"/>
    </xf>
    <xf numFmtId="38" fontId="43" fillId="8" borderId="114" xfId="0" applyNumberFormat="1" applyFont="1" applyFill="1" applyBorder="1">
      <alignment vertical="center"/>
    </xf>
    <xf numFmtId="38" fontId="43" fillId="8" borderId="115" xfId="0" applyNumberFormat="1" applyFont="1" applyFill="1" applyBorder="1">
      <alignment vertical="center"/>
    </xf>
    <xf numFmtId="38" fontId="43" fillId="8" borderId="116" xfId="0" applyNumberFormat="1" applyFont="1" applyFill="1" applyBorder="1">
      <alignment vertical="center"/>
    </xf>
    <xf numFmtId="38" fontId="43" fillId="8" borderId="117" xfId="0" applyNumberFormat="1" applyFont="1" applyFill="1" applyBorder="1">
      <alignment vertical="center"/>
    </xf>
    <xf numFmtId="38" fontId="43" fillId="8" borderId="118" xfId="0" applyNumberFormat="1" applyFont="1" applyFill="1" applyBorder="1">
      <alignment vertical="center"/>
    </xf>
    <xf numFmtId="38" fontId="43" fillId="8" borderId="119" xfId="0" applyNumberFormat="1" applyFont="1" applyFill="1" applyBorder="1">
      <alignment vertical="center"/>
    </xf>
    <xf numFmtId="38" fontId="43" fillId="8" borderId="120" xfId="0" applyNumberFormat="1" applyFont="1" applyFill="1" applyBorder="1">
      <alignment vertical="center"/>
    </xf>
    <xf numFmtId="38" fontId="43" fillId="8" borderId="121" xfId="0" applyNumberFormat="1" applyFont="1" applyFill="1" applyBorder="1">
      <alignment vertical="center"/>
    </xf>
    <xf numFmtId="204" fontId="43" fillId="3" borderId="68" xfId="0" applyNumberFormat="1" applyFont="1" applyFill="1" applyBorder="1">
      <alignment vertical="center"/>
    </xf>
    <xf numFmtId="9" fontId="43" fillId="0" borderId="68" xfId="0" applyNumberFormat="1" applyFont="1" applyBorder="1">
      <alignment vertical="center"/>
    </xf>
    <xf numFmtId="0" fontId="43" fillId="0" borderId="29" xfId="0" applyFont="1" applyBorder="1" applyAlignment="1">
      <alignment horizontal="left" vertical="center"/>
    </xf>
    <xf numFmtId="0" fontId="43" fillId="0" borderId="25" xfId="0" applyFont="1" applyBorder="1" applyAlignment="1">
      <alignment horizontal="left" vertical="center"/>
    </xf>
    <xf numFmtId="0" fontId="43" fillId="0" borderId="29" xfId="0" applyFont="1" applyBorder="1">
      <alignment vertical="center"/>
    </xf>
    <xf numFmtId="0" fontId="43" fillId="0" borderId="25" xfId="0" applyFont="1" applyBorder="1">
      <alignment vertical="center"/>
    </xf>
    <xf numFmtId="0" fontId="43" fillId="3" borderId="68" xfId="0" applyFont="1" applyFill="1" applyBorder="1" applyAlignment="1">
      <alignment horizontal="left" vertical="center"/>
    </xf>
    <xf numFmtId="177" fontId="43" fillId="0" borderId="29" xfId="0" applyNumberFormat="1" applyFont="1" applyBorder="1">
      <alignment vertical="center"/>
    </xf>
    <xf numFmtId="0" fontId="21" fillId="0" borderId="0" xfId="0" applyFont="1">
      <alignment vertical="center"/>
    </xf>
    <xf numFmtId="0" fontId="43" fillId="0" borderId="0" xfId="0" applyFont="1" applyAlignment="1">
      <alignment horizontal="right" vertical="center"/>
    </xf>
    <xf numFmtId="194" fontId="33" fillId="0" borderId="94" xfId="0" applyNumberFormat="1" applyFont="1" applyBorder="1" applyAlignment="1">
      <alignment vertical="center"/>
    </xf>
    <xf numFmtId="194" fontId="33" fillId="0" borderId="54" xfId="0" applyNumberFormat="1" applyFont="1" applyBorder="1" applyAlignment="1">
      <alignment vertical="center"/>
    </xf>
    <xf numFmtId="194" fontId="33" fillId="0" borderId="56" xfId="0" applyNumberFormat="1" applyFont="1" applyBorder="1" applyAlignment="1">
      <alignment vertical="center"/>
    </xf>
    <xf numFmtId="194" fontId="33" fillId="0" borderId="0" xfId="0" applyNumberFormat="1" applyFont="1" applyBorder="1" applyAlignment="1">
      <alignment vertical="center"/>
    </xf>
    <xf numFmtId="194" fontId="0" fillId="0" borderId="56" xfId="0" applyNumberFormat="1" applyBorder="1" applyAlignment="1">
      <alignment vertical="center"/>
    </xf>
    <xf numFmtId="9" fontId="37" fillId="0" borderId="0" xfId="0" applyNumberFormat="1" applyFont="1" applyBorder="1">
      <alignment vertical="center"/>
    </xf>
    <xf numFmtId="207" fontId="17" fillId="6" borderId="14" xfId="0" applyNumberFormat="1" applyFont="1" applyFill="1" applyBorder="1" applyAlignment="1">
      <alignment vertical="center"/>
    </xf>
    <xf numFmtId="207" fontId="17" fillId="6" borderId="15" xfId="0" applyNumberFormat="1" applyFont="1" applyFill="1" applyBorder="1" applyAlignment="1">
      <alignment vertical="center"/>
    </xf>
    <xf numFmtId="207" fontId="17" fillId="6" borderId="64" xfId="0" applyNumberFormat="1" applyFont="1" applyFill="1" applyBorder="1" applyAlignment="1">
      <alignment vertical="center"/>
    </xf>
    <xf numFmtId="207" fontId="17" fillId="6" borderId="63" xfId="0" applyNumberFormat="1" applyFont="1" applyFill="1" applyBorder="1" applyAlignment="1">
      <alignment vertical="center"/>
    </xf>
    <xf numFmtId="207" fontId="34" fillId="6" borderId="16" xfId="0" applyNumberFormat="1" applyFont="1" applyFill="1" applyBorder="1" applyAlignment="1">
      <alignment horizontal="right" vertical="center"/>
    </xf>
    <xf numFmtId="207" fontId="34" fillId="6" borderId="60" xfId="0" applyNumberFormat="1" applyFont="1" applyFill="1" applyBorder="1" applyAlignment="1">
      <alignment horizontal="right" vertical="center"/>
    </xf>
    <xf numFmtId="184" fontId="0" fillId="0" borderId="68" xfId="0" applyNumberFormat="1" applyBorder="1" applyAlignment="1" applyProtection="1">
      <alignment vertical="top"/>
      <protection locked="0"/>
    </xf>
    <xf numFmtId="184" fontId="0" fillId="0" borderId="69" xfId="0" applyNumberFormat="1" applyBorder="1" applyAlignment="1" applyProtection="1">
      <alignment vertical="top"/>
      <protection locked="0"/>
    </xf>
    <xf numFmtId="184" fontId="0" fillId="0" borderId="73" xfId="0" applyNumberFormat="1" applyBorder="1" applyAlignment="1" applyProtection="1">
      <alignment vertical="top"/>
      <protection locked="0"/>
    </xf>
    <xf numFmtId="228" fontId="0" fillId="0" borderId="68" xfId="0" applyNumberFormat="1" applyBorder="1" applyAlignment="1" applyProtection="1">
      <alignment vertical="top"/>
      <protection locked="0"/>
    </xf>
    <xf numFmtId="228" fontId="0" fillId="0" borderId="69" xfId="0" applyNumberFormat="1" applyBorder="1" applyAlignment="1" applyProtection="1">
      <alignment vertical="top"/>
      <protection locked="0"/>
    </xf>
    <xf numFmtId="184" fontId="0" fillId="3" borderId="68" xfId="0" applyNumberFormat="1" applyFill="1" applyBorder="1" applyAlignment="1" applyProtection="1">
      <alignment vertical="top"/>
      <protection locked="0"/>
    </xf>
    <xf numFmtId="228" fontId="0" fillId="3" borderId="68" xfId="0" applyNumberFormat="1" applyFill="1" applyBorder="1" applyAlignment="1" applyProtection="1">
      <alignment vertical="top"/>
      <protection locked="0"/>
    </xf>
    <xf numFmtId="180" fontId="0" fillId="0" borderId="68" xfId="0" applyNumberFormat="1" applyBorder="1" applyAlignment="1" applyProtection="1">
      <alignment horizontal="right" vertical="top"/>
      <protection locked="0"/>
    </xf>
    <xf numFmtId="183" fontId="0" fillId="0" borderId="68" xfId="0" applyNumberFormat="1" applyBorder="1" applyAlignment="1" applyProtection="1">
      <alignment vertical="top"/>
      <protection locked="0"/>
    </xf>
    <xf numFmtId="184" fontId="0" fillId="0" borderId="68" xfId="0" applyNumberFormat="1" applyBorder="1" applyAlignment="1" applyProtection="1">
      <alignment horizontal="right" vertical="top"/>
      <protection locked="0"/>
    </xf>
    <xf numFmtId="184" fontId="0" fillId="0" borderId="66" xfId="0" applyNumberFormat="1" applyBorder="1" applyAlignment="1" applyProtection="1">
      <alignment vertical="top"/>
      <protection locked="0"/>
    </xf>
    <xf numFmtId="228" fontId="0" fillId="0" borderId="66" xfId="0" applyNumberFormat="1" applyBorder="1" applyAlignment="1" applyProtection="1">
      <alignment vertical="top"/>
      <protection locked="0"/>
    </xf>
    <xf numFmtId="188" fontId="0" fillId="0" borderId="68" xfId="0" applyNumberFormat="1" applyBorder="1" applyAlignment="1" applyProtection="1">
      <alignment vertical="top"/>
      <protection locked="0"/>
    </xf>
    <xf numFmtId="9" fontId="0" fillId="0" borderId="68" xfId="0" applyNumberFormat="1" applyBorder="1" applyAlignment="1" applyProtection="1">
      <alignment vertical="top"/>
      <protection locked="0"/>
    </xf>
    <xf numFmtId="9" fontId="0" fillId="0" borderId="66" xfId="0" applyNumberFormat="1" applyBorder="1" applyAlignment="1" applyProtection="1">
      <alignment vertical="top"/>
      <protection locked="0"/>
    </xf>
    <xf numFmtId="9" fontId="0" fillId="0" borderId="68" xfId="0" applyNumberFormat="1" applyFill="1" applyBorder="1" applyAlignment="1" applyProtection="1">
      <alignment vertical="top" wrapText="1"/>
      <protection locked="0"/>
    </xf>
    <xf numFmtId="9" fontId="0" fillId="0" borderId="66" xfId="0" applyNumberFormat="1" applyFill="1" applyBorder="1" applyAlignment="1" applyProtection="1">
      <alignment vertical="top" wrapText="1"/>
      <protection locked="0"/>
    </xf>
    <xf numFmtId="9" fontId="0" fillId="0" borderId="38" xfId="0" applyNumberFormat="1" applyBorder="1" applyAlignment="1" applyProtection="1">
      <alignment vertical="top"/>
    </xf>
    <xf numFmtId="0" fontId="0" fillId="0" borderId="94" xfId="0" applyBorder="1" applyAlignment="1" applyProtection="1">
      <alignment vertical="center" wrapText="1"/>
      <protection locked="0"/>
    </xf>
    <xf numFmtId="0" fontId="0" fillId="0" borderId="54" xfId="0" applyBorder="1" applyAlignment="1" applyProtection="1">
      <alignment vertical="center" wrapText="1"/>
      <protection locked="0"/>
    </xf>
    <xf numFmtId="0" fontId="0" fillId="0" borderId="122" xfId="0" applyBorder="1" applyAlignment="1" applyProtection="1">
      <alignment vertical="center" wrapText="1"/>
      <protection locked="0"/>
    </xf>
    <xf numFmtId="0" fontId="0" fillId="0" borderId="56" xfId="0" applyBorder="1" applyAlignment="1" applyProtection="1">
      <alignment vertical="center" wrapText="1"/>
      <protection locked="0"/>
    </xf>
    <xf numFmtId="0" fontId="0" fillId="0" borderId="0" xfId="0" applyBorder="1" applyAlignment="1" applyProtection="1">
      <alignment vertical="center" wrapText="1"/>
      <protection locked="0"/>
    </xf>
    <xf numFmtId="0" fontId="0" fillId="0" borderId="41" xfId="0" applyBorder="1" applyAlignment="1" applyProtection="1">
      <alignment vertical="center" wrapText="1"/>
      <protection locked="0"/>
    </xf>
    <xf numFmtId="0" fontId="0" fillId="0" borderId="13" xfId="0" applyBorder="1" applyAlignment="1" applyProtection="1">
      <alignment vertical="center" wrapText="1"/>
      <protection locked="0"/>
    </xf>
    <xf numFmtId="0" fontId="0" fillId="0" borderId="7" xfId="0" applyBorder="1" applyAlignment="1" applyProtection="1">
      <alignment vertical="center" wrapText="1"/>
      <protection locked="0"/>
    </xf>
    <xf numFmtId="0" fontId="0" fillId="0" borderId="123" xfId="0" applyBorder="1" applyAlignment="1" applyProtection="1">
      <alignment vertical="center" wrapText="1"/>
      <protection locked="0"/>
    </xf>
    <xf numFmtId="0" fontId="0" fillId="0" borderId="54" xfId="0" applyBorder="1" applyAlignment="1" applyProtection="1">
      <alignment vertical="center"/>
      <protection locked="0"/>
    </xf>
    <xf numFmtId="0" fontId="0" fillId="0" borderId="122" xfId="0" applyBorder="1" applyAlignment="1" applyProtection="1">
      <alignment vertical="center"/>
      <protection locked="0"/>
    </xf>
    <xf numFmtId="0" fontId="0" fillId="0" borderId="13" xfId="0" applyBorder="1" applyAlignment="1" applyProtection="1">
      <alignment vertical="center"/>
      <protection locked="0"/>
    </xf>
    <xf numFmtId="0" fontId="0" fillId="0" borderId="7" xfId="0" applyBorder="1" applyAlignment="1" applyProtection="1">
      <alignment vertical="center"/>
      <protection locked="0"/>
    </xf>
    <xf numFmtId="0" fontId="0" fillId="0" borderId="123" xfId="0" applyBorder="1" applyAlignment="1" applyProtection="1">
      <alignment vertical="center"/>
      <protection locked="0"/>
    </xf>
    <xf numFmtId="0" fontId="0" fillId="0" borderId="94" xfId="0" applyBorder="1" applyAlignment="1" applyProtection="1">
      <alignment vertical="center"/>
      <protection locked="0"/>
    </xf>
    <xf numFmtId="0" fontId="14" fillId="0" borderId="20" xfId="0" applyFont="1" applyFill="1" applyBorder="1" applyProtection="1">
      <alignment vertical="center"/>
      <protection locked="0"/>
    </xf>
    <xf numFmtId="0" fontId="3" fillId="0" borderId="19" xfId="0" applyFont="1" applyFill="1" applyBorder="1" applyProtection="1">
      <alignment vertical="center"/>
      <protection locked="0"/>
    </xf>
    <xf numFmtId="0" fontId="8" fillId="0" borderId="19" xfId="0" applyFont="1" applyFill="1" applyBorder="1" applyProtection="1">
      <alignment vertical="center"/>
      <protection locked="0"/>
    </xf>
    <xf numFmtId="0" fontId="0" fillId="0" borderId="0" xfId="0" applyProtection="1">
      <alignment vertical="center"/>
      <protection locked="0"/>
    </xf>
    <xf numFmtId="178" fontId="0" fillId="0" borderId="8" xfId="0" applyNumberFormat="1" applyBorder="1" applyAlignment="1">
      <alignment horizontal="right" vertical="center"/>
    </xf>
    <xf numFmtId="178" fontId="0" fillId="0" borderId="7" xfId="0" applyNumberFormat="1" applyBorder="1" applyAlignment="1">
      <alignment horizontal="right" vertical="center"/>
    </xf>
    <xf numFmtId="0" fontId="0" fillId="0" borderId="124" xfId="0" applyBorder="1" applyProtection="1">
      <alignment vertical="center"/>
      <protection locked="0"/>
    </xf>
    <xf numFmtId="0" fontId="0" fillId="0" borderId="124" xfId="0" applyFill="1" applyBorder="1" applyProtection="1">
      <alignment vertical="center"/>
      <protection locked="0"/>
    </xf>
    <xf numFmtId="0" fontId="0" fillId="0" borderId="0" xfId="0" quotePrefix="1">
      <alignment vertical="center"/>
    </xf>
    <xf numFmtId="236" fontId="0" fillId="8" borderId="68" xfId="0" applyNumberFormat="1" applyFill="1" applyBorder="1" applyAlignment="1">
      <alignment vertical="center"/>
    </xf>
    <xf numFmtId="236" fontId="0" fillId="8" borderId="76" xfId="0" applyNumberFormat="1" applyFill="1" applyBorder="1" applyAlignment="1">
      <alignment vertical="center"/>
    </xf>
    <xf numFmtId="0" fontId="0" fillId="20" borderId="74" xfId="0" applyFill="1" applyBorder="1">
      <alignment vertical="center"/>
    </xf>
    <xf numFmtId="176" fontId="0" fillId="20" borderId="68" xfId="0" applyNumberFormat="1" applyFill="1" applyBorder="1" applyAlignment="1">
      <alignment vertical="center"/>
    </xf>
    <xf numFmtId="176" fontId="0" fillId="20" borderId="76" xfId="0" applyNumberFormat="1" applyFill="1" applyBorder="1" applyAlignment="1">
      <alignment vertical="center"/>
    </xf>
    <xf numFmtId="0" fontId="0" fillId="20" borderId="0" xfId="0" applyFill="1">
      <alignment vertical="center"/>
    </xf>
    <xf numFmtId="0" fontId="0" fillId="20" borderId="83" xfId="0" applyFill="1" applyBorder="1">
      <alignment vertical="center"/>
    </xf>
    <xf numFmtId="0" fontId="0" fillId="20" borderId="84" xfId="0" applyFill="1" applyBorder="1">
      <alignment vertical="center"/>
    </xf>
    <xf numFmtId="9" fontId="0" fillId="20" borderId="0" xfId="0" applyNumberFormat="1" applyFill="1" applyAlignment="1">
      <alignment vertical="top"/>
    </xf>
    <xf numFmtId="9" fontId="0" fillId="0" borderId="11" xfId="0" applyNumberFormat="1" applyBorder="1" applyAlignment="1">
      <alignment vertical="top"/>
    </xf>
    <xf numFmtId="9" fontId="0" fillId="0" borderId="15" xfId="0" applyNumberFormat="1" applyBorder="1" applyAlignment="1">
      <alignment vertical="top"/>
    </xf>
    <xf numFmtId="9" fontId="0" fillId="0" borderId="63" xfId="0" applyNumberFormat="1" applyBorder="1" applyAlignment="1">
      <alignment vertical="top"/>
    </xf>
    <xf numFmtId="0" fontId="15" fillId="8" borderId="125" xfId="0" applyFont="1" applyFill="1" applyBorder="1" applyAlignment="1">
      <alignment horizontal="right" vertical="center"/>
    </xf>
    <xf numFmtId="5" fontId="15" fillId="8" borderId="125" xfId="0" applyNumberFormat="1" applyFont="1" applyFill="1" applyBorder="1" applyAlignment="1">
      <alignment vertical="center"/>
    </xf>
    <xf numFmtId="9" fontId="0" fillId="0" borderId="2" xfId="0" applyNumberFormat="1" applyBorder="1" applyAlignment="1">
      <alignment vertical="top"/>
    </xf>
    <xf numFmtId="0" fontId="15" fillId="20" borderId="74" xfId="0" applyFont="1" applyFill="1" applyBorder="1">
      <alignment vertical="center"/>
    </xf>
    <xf numFmtId="0" fontId="15" fillId="20" borderId="14" xfId="0" applyFont="1" applyFill="1" applyBorder="1">
      <alignment vertical="center"/>
    </xf>
    <xf numFmtId="9" fontId="0" fillId="20" borderId="16" xfId="0" applyNumberFormat="1" applyFill="1" applyBorder="1" applyAlignment="1">
      <alignment vertical="top"/>
    </xf>
    <xf numFmtId="38" fontId="15" fillId="20" borderId="76" xfId="1" applyFont="1" applyFill="1" applyBorder="1">
      <alignment vertical="center"/>
    </xf>
    <xf numFmtId="187" fontId="15" fillId="8" borderId="126" xfId="0" applyNumberFormat="1" applyFont="1" applyFill="1" applyBorder="1" applyAlignment="1">
      <alignment vertical="center"/>
    </xf>
    <xf numFmtId="38" fontId="15" fillId="20" borderId="125" xfId="1" applyFont="1" applyFill="1" applyBorder="1">
      <alignment vertical="center"/>
    </xf>
    <xf numFmtId="5" fontId="15" fillId="8" borderId="127" xfId="0" applyNumberFormat="1" applyFont="1" applyFill="1" applyBorder="1" applyAlignment="1">
      <alignment vertical="center"/>
    </xf>
    <xf numFmtId="236" fontId="15" fillId="8" borderId="76" xfId="0" applyNumberFormat="1" applyFont="1" applyFill="1" applyBorder="1" applyAlignment="1">
      <alignment vertical="center"/>
    </xf>
    <xf numFmtId="180" fontId="15" fillId="8" borderId="76" xfId="0" applyNumberFormat="1" applyFont="1" applyFill="1" applyBorder="1">
      <alignment vertical="center"/>
    </xf>
    <xf numFmtId="180" fontId="0" fillId="8" borderId="68" xfId="0" applyNumberFormat="1" applyFont="1" applyFill="1" applyBorder="1">
      <alignment vertical="center"/>
    </xf>
    <xf numFmtId="180" fontId="0" fillId="8" borderId="76" xfId="0" applyNumberFormat="1" applyFont="1" applyFill="1" applyBorder="1">
      <alignment vertical="center"/>
    </xf>
    <xf numFmtId="176" fontId="15" fillId="20" borderId="76" xfId="0" applyNumberFormat="1" applyFont="1" applyFill="1" applyBorder="1" applyAlignment="1">
      <alignment vertical="center"/>
    </xf>
    <xf numFmtId="187" fontId="0" fillId="8" borderId="72" xfId="0" applyNumberFormat="1" applyFont="1" applyFill="1" applyBorder="1" applyAlignment="1">
      <alignment vertical="center"/>
    </xf>
    <xf numFmtId="236" fontId="0" fillId="8" borderId="76" xfId="0" applyNumberFormat="1" applyFont="1" applyFill="1" applyBorder="1" applyAlignment="1">
      <alignment vertical="center"/>
    </xf>
    <xf numFmtId="0" fontId="0" fillId="8" borderId="76" xfId="0" applyFont="1" applyFill="1" applyBorder="1" applyAlignment="1">
      <alignment horizontal="right" vertical="center"/>
    </xf>
    <xf numFmtId="0" fontId="0" fillId="0" borderId="74" xfId="0" applyFont="1" applyBorder="1">
      <alignment vertical="center"/>
    </xf>
    <xf numFmtId="176" fontId="0" fillId="20" borderId="76" xfId="0" applyNumberFormat="1" applyFont="1" applyFill="1" applyBorder="1" applyAlignment="1">
      <alignment vertical="center"/>
    </xf>
    <xf numFmtId="236" fontId="0" fillId="8" borderId="68" xfId="0" applyNumberFormat="1" applyFont="1" applyFill="1" applyBorder="1" applyAlignment="1">
      <alignment vertical="center"/>
    </xf>
    <xf numFmtId="0" fontId="0" fillId="21" borderId="0" xfId="0" applyFill="1">
      <alignment vertical="center"/>
    </xf>
    <xf numFmtId="0" fontId="0" fillId="3" borderId="0" xfId="0" applyFill="1" applyAlignment="1">
      <alignment horizontal="center" vertical="center"/>
    </xf>
    <xf numFmtId="0" fontId="0" fillId="3" borderId="0" xfId="0" applyFill="1" applyAlignment="1">
      <alignment horizontal="right" vertical="center"/>
    </xf>
    <xf numFmtId="0" fontId="0" fillId="22" borderId="0" xfId="0" applyFill="1">
      <alignment vertical="center"/>
    </xf>
    <xf numFmtId="0" fontId="0" fillId="22" borderId="0" xfId="0" applyFill="1" applyAlignment="1">
      <alignment horizontal="center" vertical="center"/>
    </xf>
    <xf numFmtId="194" fontId="0" fillId="22" borderId="0" xfId="0" applyNumberFormat="1" applyFill="1" applyBorder="1" applyAlignment="1">
      <alignment horizontal="right" vertical="center"/>
    </xf>
    <xf numFmtId="194" fontId="34" fillId="22" borderId="0" xfId="0" applyNumberFormat="1" applyFont="1" applyFill="1" applyBorder="1" applyAlignment="1">
      <alignment horizontal="right" vertical="center"/>
    </xf>
    <xf numFmtId="5" fontId="17" fillId="0" borderId="0" xfId="2" applyNumberFormat="1" applyFont="1" applyBorder="1" applyAlignment="1">
      <alignment horizontal="right" vertical="center"/>
    </xf>
    <xf numFmtId="5" fontId="1" fillId="0" borderId="0" xfId="2" applyNumberFormat="1" applyBorder="1" applyAlignment="1">
      <alignment horizontal="right" vertical="center"/>
    </xf>
    <xf numFmtId="38" fontId="15" fillId="21" borderId="128" xfId="0" applyNumberFormat="1" applyFont="1" applyFill="1" applyBorder="1" applyAlignment="1">
      <alignment horizontal="center" vertical="center"/>
    </xf>
    <xf numFmtId="185" fontId="8" fillId="0" borderId="0" xfId="0" applyNumberFormat="1" applyFont="1" applyFill="1" applyBorder="1" applyAlignment="1">
      <alignment vertical="center"/>
    </xf>
    <xf numFmtId="0" fontId="0" fillId="0" borderId="0" xfId="0" applyFont="1">
      <alignment vertical="center"/>
    </xf>
    <xf numFmtId="0" fontId="0" fillId="23" borderId="68" xfId="0" applyFont="1" applyFill="1" applyBorder="1">
      <alignment vertical="center"/>
    </xf>
    <xf numFmtId="0" fontId="0" fillId="0" borderId="0" xfId="0" applyFont="1" applyFill="1">
      <alignment vertical="center"/>
    </xf>
    <xf numFmtId="0" fontId="0" fillId="0" borderId="68" xfId="0" applyFont="1" applyFill="1" applyBorder="1">
      <alignment vertical="center"/>
    </xf>
    <xf numFmtId="0" fontId="0" fillId="0" borderId="0" xfId="0" applyFont="1" applyFill="1" applyBorder="1">
      <alignment vertical="center"/>
    </xf>
    <xf numFmtId="0" fontId="46" fillId="0" borderId="0" xfId="0" applyFont="1" applyFill="1" applyBorder="1">
      <alignment vertical="center"/>
    </xf>
    <xf numFmtId="0" fontId="0" fillId="23" borderId="124" xfId="0" applyFill="1" applyBorder="1" applyProtection="1">
      <alignment vertical="center"/>
      <protection locked="0"/>
    </xf>
    <xf numFmtId="0" fontId="0" fillId="24" borderId="68" xfId="0" applyFont="1" applyFill="1" applyBorder="1">
      <alignment vertical="center"/>
    </xf>
    <xf numFmtId="0" fontId="0" fillId="25" borderId="0" xfId="0" applyFill="1">
      <alignment vertical="center"/>
    </xf>
    <xf numFmtId="0" fontId="19" fillId="25" borderId="0" xfId="0" applyFont="1" applyFill="1">
      <alignment vertical="center"/>
    </xf>
    <xf numFmtId="0" fontId="38" fillId="25" borderId="0" xfId="0" applyFont="1" applyFill="1">
      <alignment vertical="center"/>
    </xf>
    <xf numFmtId="0" fontId="21" fillId="25" borderId="0" xfId="0" applyFont="1" applyFill="1">
      <alignment vertical="center"/>
    </xf>
    <xf numFmtId="0" fontId="17" fillId="25" borderId="0" xfId="0" applyFont="1" applyFill="1">
      <alignment vertical="center"/>
    </xf>
    <xf numFmtId="0" fontId="43" fillId="25" borderId="29" xfId="0" applyFont="1" applyFill="1" applyBorder="1" applyAlignment="1">
      <alignment horizontal="left" vertical="center"/>
    </xf>
    <xf numFmtId="0" fontId="43" fillId="25" borderId="25" xfId="0" applyFont="1" applyFill="1" applyBorder="1" applyAlignment="1">
      <alignment horizontal="left" vertical="center"/>
    </xf>
    <xf numFmtId="0" fontId="43" fillId="25" borderId="29" xfId="0" applyFont="1" applyFill="1" applyBorder="1">
      <alignment vertical="center"/>
    </xf>
    <xf numFmtId="0" fontId="43" fillId="25" borderId="25" xfId="0" applyFont="1" applyFill="1" applyBorder="1">
      <alignment vertical="center"/>
    </xf>
    <xf numFmtId="0" fontId="43" fillId="25" borderId="68" xfId="0" applyFont="1" applyFill="1" applyBorder="1" applyAlignment="1">
      <alignment horizontal="left" vertical="center"/>
    </xf>
    <xf numFmtId="177" fontId="43" fillId="25" borderId="29" xfId="0" applyNumberFormat="1" applyFont="1" applyFill="1" applyBorder="1">
      <alignment vertical="center"/>
    </xf>
    <xf numFmtId="0" fontId="37" fillId="25" borderId="0" xfId="0" applyFont="1" applyFill="1">
      <alignment vertical="center"/>
    </xf>
    <xf numFmtId="204" fontId="43" fillId="25" borderId="68" xfId="0" applyNumberFormat="1" applyFont="1" applyFill="1" applyBorder="1">
      <alignment vertical="center"/>
    </xf>
    <xf numFmtId="9" fontId="43" fillId="25" borderId="68" xfId="0" applyNumberFormat="1" applyFont="1" applyFill="1" applyBorder="1">
      <alignment vertical="center"/>
    </xf>
    <xf numFmtId="0" fontId="43" fillId="25" borderId="0" xfId="0" applyFont="1" applyFill="1">
      <alignment vertical="center"/>
    </xf>
    <xf numFmtId="0" fontId="43" fillId="25" borderId="0" xfId="0" applyFont="1" applyFill="1" applyAlignment="1">
      <alignment horizontal="right" vertical="center"/>
    </xf>
    <xf numFmtId="0" fontId="0" fillId="25" borderId="0" xfId="0" applyFill="1" applyBorder="1">
      <alignment vertical="center"/>
    </xf>
    <xf numFmtId="204" fontId="0" fillId="25" borderId="0" xfId="0" applyNumberFormat="1" applyFill="1">
      <alignment vertical="center"/>
    </xf>
    <xf numFmtId="0" fontId="0" fillId="25" borderId="0" xfId="0" applyFill="1" applyAlignment="1">
      <alignment horizontal="right" vertical="center"/>
    </xf>
    <xf numFmtId="207" fontId="0" fillId="25" borderId="0" xfId="0" applyNumberFormat="1" applyFill="1">
      <alignment vertical="center"/>
    </xf>
    <xf numFmtId="186" fontId="43" fillId="25" borderId="70" xfId="0" applyNumberFormat="1" applyFont="1" applyFill="1" applyBorder="1" applyAlignment="1">
      <alignment horizontal="center" vertical="center"/>
    </xf>
    <xf numFmtId="186" fontId="43" fillId="25" borderId="77" xfId="0" applyNumberFormat="1" applyFont="1" applyFill="1" applyBorder="1" applyAlignment="1">
      <alignment horizontal="center" vertical="center"/>
    </xf>
    <xf numFmtId="186" fontId="43" fillId="25" borderId="72" xfId="0" applyNumberFormat="1" applyFont="1" applyFill="1" applyBorder="1" applyAlignment="1">
      <alignment horizontal="center" vertical="center"/>
    </xf>
    <xf numFmtId="9" fontId="43" fillId="25" borderId="70" xfId="0" applyNumberFormat="1" applyFont="1" applyFill="1" applyBorder="1" applyAlignment="1">
      <alignment vertical="center"/>
    </xf>
    <xf numFmtId="9" fontId="43" fillId="25" borderId="106" xfId="0" applyNumberFormat="1" applyFont="1" applyFill="1" applyBorder="1" applyAlignment="1">
      <alignment vertical="center"/>
    </xf>
    <xf numFmtId="179" fontId="43" fillId="25" borderId="74" xfId="0" applyNumberFormat="1" applyFont="1" applyFill="1" applyBorder="1" applyAlignment="1">
      <alignment vertical="center"/>
    </xf>
    <xf numFmtId="179" fontId="43" fillId="25" borderId="25" xfId="0" applyNumberFormat="1" applyFont="1" applyFill="1" applyBorder="1" applyAlignment="1">
      <alignment vertical="center"/>
    </xf>
    <xf numFmtId="179" fontId="43" fillId="25" borderId="71" xfId="0" applyNumberFormat="1" applyFont="1" applyFill="1" applyBorder="1" applyAlignment="1">
      <alignment vertical="center"/>
    </xf>
    <xf numFmtId="179" fontId="43" fillId="25" borderId="107" xfId="0" applyNumberFormat="1" applyFont="1" applyFill="1" applyBorder="1" applyAlignment="1">
      <alignment vertical="center"/>
    </xf>
    <xf numFmtId="0" fontId="43" fillId="25" borderId="108" xfId="0" applyFont="1" applyFill="1" applyBorder="1">
      <alignment vertical="center"/>
    </xf>
    <xf numFmtId="38" fontId="43" fillId="25" borderId="112" xfId="0" applyNumberFormat="1" applyFont="1" applyFill="1" applyBorder="1">
      <alignment vertical="center"/>
    </xf>
    <xf numFmtId="38" fontId="43" fillId="25" borderId="81" xfId="0" applyNumberFormat="1" applyFont="1" applyFill="1" applyBorder="1">
      <alignment vertical="center"/>
    </xf>
    <xf numFmtId="38" fontId="43" fillId="25" borderId="78" xfId="0" applyNumberFormat="1" applyFont="1" applyFill="1" applyBorder="1">
      <alignment vertical="center"/>
    </xf>
    <xf numFmtId="0" fontId="43" fillId="25" borderId="109" xfId="0" applyFont="1" applyFill="1" applyBorder="1">
      <alignment vertical="center"/>
    </xf>
    <xf numFmtId="38" fontId="43" fillId="25" borderId="113" xfId="0" applyNumberFormat="1" applyFont="1" applyFill="1" applyBorder="1">
      <alignment vertical="center"/>
    </xf>
    <xf numFmtId="38" fontId="43" fillId="25" borderId="114" xfId="0" applyNumberFormat="1" applyFont="1" applyFill="1" applyBorder="1">
      <alignment vertical="center"/>
    </xf>
    <xf numFmtId="38" fontId="43" fillId="25" borderId="115" xfId="0" applyNumberFormat="1" applyFont="1" applyFill="1" applyBorder="1">
      <alignment vertical="center"/>
    </xf>
    <xf numFmtId="0" fontId="43" fillId="25" borderId="110" xfId="0" applyFont="1" applyFill="1" applyBorder="1">
      <alignment vertical="center"/>
    </xf>
    <xf numFmtId="38" fontId="43" fillId="25" borderId="116" xfId="0" applyNumberFormat="1" applyFont="1" applyFill="1" applyBorder="1">
      <alignment vertical="center"/>
    </xf>
    <xf numFmtId="38" fontId="43" fillId="25" borderId="117" xfId="0" applyNumberFormat="1" applyFont="1" applyFill="1" applyBorder="1">
      <alignment vertical="center"/>
    </xf>
    <xf numFmtId="38" fontId="43" fillId="25" borderId="118" xfId="0" applyNumberFormat="1" applyFont="1" applyFill="1" applyBorder="1">
      <alignment vertical="center"/>
    </xf>
    <xf numFmtId="0" fontId="43" fillId="25" borderId="111" xfId="0" applyFont="1" applyFill="1" applyBorder="1">
      <alignment vertical="center"/>
    </xf>
    <xf numFmtId="38" fontId="43" fillId="25" borderId="119" xfId="0" applyNumberFormat="1" applyFont="1" applyFill="1" applyBorder="1">
      <alignment vertical="center"/>
    </xf>
    <xf numFmtId="38" fontId="43" fillId="25" borderId="120" xfId="0" applyNumberFormat="1" applyFont="1" applyFill="1" applyBorder="1">
      <alignment vertical="center"/>
    </xf>
    <xf numFmtId="38" fontId="43" fillId="25" borderId="121" xfId="0" applyNumberFormat="1" applyFont="1" applyFill="1" applyBorder="1">
      <alignment vertical="center"/>
    </xf>
    <xf numFmtId="186" fontId="0" fillId="25" borderId="93" xfId="0" applyNumberFormat="1" applyFill="1" applyBorder="1">
      <alignment vertical="center"/>
    </xf>
    <xf numFmtId="186" fontId="0" fillId="25" borderId="68" xfId="0" applyNumberFormat="1" applyFill="1" applyBorder="1">
      <alignment vertical="center"/>
    </xf>
    <xf numFmtId="179" fontId="0" fillId="25" borderId="68" xfId="0" applyNumberFormat="1" applyFill="1" applyBorder="1">
      <alignment vertical="center"/>
    </xf>
    <xf numFmtId="186" fontId="0" fillId="25" borderId="0" xfId="0" applyNumberFormat="1" applyFill="1">
      <alignment vertical="center"/>
    </xf>
    <xf numFmtId="0" fontId="8" fillId="25" borderId="0" xfId="0" applyFont="1" applyFill="1" applyBorder="1">
      <alignment vertical="center"/>
    </xf>
    <xf numFmtId="0" fontId="3" fillId="25" borderId="0" xfId="0" applyFont="1" applyFill="1" applyBorder="1">
      <alignment vertical="center"/>
    </xf>
    <xf numFmtId="0" fontId="8" fillId="25" borderId="0" xfId="0" applyFont="1" applyFill="1">
      <alignment vertical="center"/>
    </xf>
    <xf numFmtId="0" fontId="0" fillId="0" borderId="0" xfId="0" applyAlignment="1">
      <alignment vertical="top" wrapText="1"/>
    </xf>
    <xf numFmtId="0" fontId="42" fillId="0" borderId="0" xfId="0" applyFont="1" applyAlignment="1">
      <alignment horizontal="center" vertical="center" wrapText="1"/>
    </xf>
    <xf numFmtId="38" fontId="1" fillId="26" borderId="151" xfId="1" applyFill="1" applyBorder="1" applyAlignment="1" applyProtection="1">
      <alignment vertical="center"/>
      <protection locked="0"/>
    </xf>
    <xf numFmtId="38" fontId="1" fillId="26" borderId="152" xfId="1" applyFill="1" applyBorder="1" applyAlignment="1" applyProtection="1">
      <alignment vertical="center"/>
      <protection locked="0"/>
    </xf>
    <xf numFmtId="38" fontId="1" fillId="26" borderId="153" xfId="1" applyFill="1" applyBorder="1" applyAlignment="1" applyProtection="1">
      <alignment vertical="center"/>
      <protection locked="0"/>
    </xf>
    <xf numFmtId="38" fontId="1" fillId="26" borderId="156" xfId="1" applyFill="1" applyBorder="1" applyAlignment="1" applyProtection="1">
      <alignment vertical="center"/>
      <protection locked="0"/>
    </xf>
    <xf numFmtId="38" fontId="1" fillId="26" borderId="15" xfId="1" applyFill="1" applyBorder="1" applyAlignment="1" applyProtection="1">
      <alignment vertical="center"/>
      <protection locked="0"/>
    </xf>
    <xf numFmtId="38" fontId="1" fillId="26" borderId="157" xfId="1" applyFill="1" applyBorder="1" applyAlignment="1" applyProtection="1">
      <alignment vertical="center"/>
      <protection locked="0"/>
    </xf>
    <xf numFmtId="38" fontId="1" fillId="26" borderId="132" xfId="1" applyFill="1" applyBorder="1" applyAlignment="1" applyProtection="1">
      <alignment vertical="center"/>
      <protection locked="0"/>
    </xf>
    <xf numFmtId="38" fontId="1" fillId="26" borderId="133" xfId="1" applyFill="1" applyBorder="1" applyAlignment="1" applyProtection="1">
      <alignment vertical="center"/>
      <protection locked="0"/>
    </xf>
    <xf numFmtId="38" fontId="1" fillId="26" borderId="134" xfId="1" applyFill="1" applyBorder="1" applyAlignment="1" applyProtection="1">
      <alignment vertical="center"/>
      <protection locked="0"/>
    </xf>
    <xf numFmtId="0" fontId="0" fillId="0" borderId="154" xfId="0" applyFill="1" applyBorder="1" applyAlignment="1" applyProtection="1">
      <alignment vertical="center"/>
      <protection locked="0"/>
    </xf>
    <xf numFmtId="0" fontId="0" fillId="0" borderId="11" xfId="0" applyFill="1" applyBorder="1" applyAlignment="1" applyProtection="1">
      <alignment vertical="center"/>
      <protection locked="0"/>
    </xf>
    <xf numFmtId="0" fontId="0" fillId="0" borderId="155" xfId="0" applyFill="1" applyBorder="1" applyAlignment="1" applyProtection="1">
      <alignment vertical="center"/>
      <protection locked="0"/>
    </xf>
    <xf numFmtId="0" fontId="0" fillId="0" borderId="132" xfId="0" applyFill="1" applyBorder="1" applyAlignment="1" applyProtection="1">
      <alignment vertical="center"/>
      <protection locked="0"/>
    </xf>
    <xf numFmtId="0" fontId="0" fillId="0" borderId="133" xfId="0" applyFill="1" applyBorder="1" applyAlignment="1" applyProtection="1">
      <alignment vertical="center"/>
      <protection locked="0"/>
    </xf>
    <xf numFmtId="0" fontId="0" fillId="0" borderId="134" xfId="0" applyFill="1" applyBorder="1" applyAlignment="1" applyProtection="1">
      <alignment vertical="center"/>
      <protection locked="0"/>
    </xf>
    <xf numFmtId="0" fontId="0" fillId="26" borderId="151" xfId="0" applyFill="1" applyBorder="1" applyAlignment="1" applyProtection="1">
      <alignment vertical="center"/>
      <protection locked="0"/>
    </xf>
    <xf numFmtId="0" fontId="0" fillId="26" borderId="152" xfId="0" applyFill="1" applyBorder="1" applyAlignment="1" applyProtection="1">
      <alignment vertical="center"/>
      <protection locked="0"/>
    </xf>
    <xf numFmtId="0" fontId="0" fillId="26" borderId="153" xfId="0" applyFill="1" applyBorder="1" applyAlignment="1" applyProtection="1">
      <alignment vertical="center"/>
      <protection locked="0"/>
    </xf>
    <xf numFmtId="0" fontId="0" fillId="26" borderId="156" xfId="0" applyFill="1" applyBorder="1" applyAlignment="1" applyProtection="1">
      <alignment vertical="center"/>
      <protection locked="0"/>
    </xf>
    <xf numFmtId="0" fontId="0" fillId="26" borderId="15" xfId="0" applyFill="1" applyBorder="1" applyAlignment="1" applyProtection="1">
      <alignment vertical="center"/>
      <protection locked="0"/>
    </xf>
    <xf numFmtId="0" fontId="0" fillId="26" borderId="157" xfId="0" applyFill="1" applyBorder="1" applyAlignment="1" applyProtection="1">
      <alignment vertical="center"/>
      <protection locked="0"/>
    </xf>
    <xf numFmtId="0" fontId="0" fillId="3" borderId="82" xfId="0" applyFill="1" applyBorder="1" applyAlignment="1">
      <alignment horizontal="center" vertical="center"/>
    </xf>
    <xf numFmtId="0" fontId="0" fillId="3" borderId="2" xfId="0" applyFill="1" applyBorder="1" applyAlignment="1">
      <alignment horizontal="center" vertical="center"/>
    </xf>
    <xf numFmtId="0" fontId="0" fillId="3" borderId="3" xfId="0" applyFill="1" applyBorder="1" applyAlignment="1">
      <alignment horizontal="center" vertical="center"/>
    </xf>
    <xf numFmtId="0" fontId="0" fillId="26" borderId="158" xfId="0" applyFill="1" applyBorder="1" applyAlignment="1" applyProtection="1">
      <alignment vertical="center"/>
      <protection locked="0"/>
    </xf>
    <xf numFmtId="0" fontId="0" fillId="26" borderId="38" xfId="0" applyFill="1" applyBorder="1" applyAlignment="1" applyProtection="1">
      <alignment vertical="center"/>
      <protection locked="0"/>
    </xf>
    <xf numFmtId="0" fontId="0" fillId="26" borderId="159" xfId="0" applyFill="1" applyBorder="1" applyAlignment="1" applyProtection="1">
      <alignment vertical="center"/>
      <protection locked="0"/>
    </xf>
    <xf numFmtId="0" fontId="0" fillId="26" borderId="142" xfId="0" applyFill="1" applyBorder="1" applyAlignment="1" applyProtection="1">
      <alignment vertical="center"/>
      <protection locked="0"/>
    </xf>
    <xf numFmtId="0" fontId="0" fillId="26" borderId="4" xfId="0" applyFill="1" applyBorder="1" applyAlignment="1" applyProtection="1">
      <alignment vertical="center"/>
      <protection locked="0"/>
    </xf>
    <xf numFmtId="0" fontId="0" fillId="26" borderId="143" xfId="0" applyFill="1" applyBorder="1" applyAlignment="1" applyProtection="1">
      <alignment vertical="center"/>
      <protection locked="0"/>
    </xf>
    <xf numFmtId="0" fontId="21" fillId="0" borderId="0" xfId="0" applyFont="1" applyAlignment="1">
      <alignment horizontal="center" vertical="center"/>
    </xf>
    <xf numFmtId="0" fontId="6" fillId="0" borderId="94" xfId="0" applyFont="1" applyBorder="1" applyAlignment="1">
      <alignment horizontal="left" vertical="center" wrapText="1"/>
    </xf>
    <xf numFmtId="0" fontId="6" fillId="0" borderId="54" xfId="0" applyFont="1" applyBorder="1" applyAlignment="1">
      <alignment horizontal="left" vertical="center"/>
    </xf>
    <xf numFmtId="0" fontId="6" fillId="0" borderId="55" xfId="0" applyFont="1" applyBorder="1" applyAlignment="1">
      <alignment horizontal="left" vertical="center"/>
    </xf>
    <xf numFmtId="0" fontId="6" fillId="0" borderId="56" xfId="0" applyFont="1" applyBorder="1" applyAlignment="1">
      <alignment horizontal="left" vertical="center"/>
    </xf>
    <xf numFmtId="0" fontId="6" fillId="0" borderId="0" xfId="0" applyFont="1" applyBorder="1" applyAlignment="1">
      <alignment horizontal="left" vertical="center"/>
    </xf>
    <xf numFmtId="0" fontId="6" fillId="0" borderId="57" xfId="0" applyFont="1" applyBorder="1" applyAlignment="1">
      <alignment horizontal="left" vertical="center"/>
    </xf>
    <xf numFmtId="0" fontId="6" fillId="0" borderId="13" xfId="0" applyFont="1" applyBorder="1" applyAlignment="1">
      <alignment horizontal="left" vertical="center"/>
    </xf>
    <xf numFmtId="0" fontId="6" fillId="0" borderId="7" xfId="0" applyFont="1" applyBorder="1" applyAlignment="1">
      <alignment horizontal="left" vertical="center"/>
    </xf>
    <xf numFmtId="0" fontId="6" fillId="0" borderId="9" xfId="0" applyFont="1" applyBorder="1" applyAlignment="1">
      <alignment horizontal="left" vertical="center"/>
    </xf>
    <xf numFmtId="0" fontId="0" fillId="0" borderId="94" xfId="0" applyBorder="1" applyAlignment="1">
      <alignment horizontal="left" vertical="center" wrapText="1"/>
    </xf>
    <xf numFmtId="0" fontId="0" fillId="0" borderId="54" xfId="0" applyBorder="1" applyAlignment="1">
      <alignment horizontal="left" vertical="center"/>
    </xf>
    <xf numFmtId="0" fontId="0" fillId="0" borderId="122" xfId="0" applyBorder="1" applyAlignment="1">
      <alignment horizontal="left" vertical="center"/>
    </xf>
    <xf numFmtId="0" fontId="0" fillId="0" borderId="56" xfId="0" applyBorder="1" applyAlignment="1">
      <alignment horizontal="left" vertical="center"/>
    </xf>
    <xf numFmtId="0" fontId="0" fillId="0" borderId="0" xfId="0" applyBorder="1" applyAlignment="1">
      <alignment horizontal="left" vertical="center"/>
    </xf>
    <xf numFmtId="0" fontId="0" fillId="0" borderId="41" xfId="0" applyBorder="1" applyAlignment="1">
      <alignment horizontal="left" vertical="center"/>
    </xf>
    <xf numFmtId="0" fontId="0" fillId="0" borderId="13" xfId="0" applyBorder="1" applyAlignment="1">
      <alignment horizontal="left" vertical="center"/>
    </xf>
    <xf numFmtId="0" fontId="0" fillId="0" borderId="7" xfId="0" applyBorder="1" applyAlignment="1">
      <alignment horizontal="left" vertical="center"/>
    </xf>
    <xf numFmtId="0" fontId="0" fillId="0" borderId="123" xfId="0" applyBorder="1" applyAlignment="1">
      <alignment horizontal="left" vertical="center"/>
    </xf>
    <xf numFmtId="0" fontId="0" fillId="3" borderId="149" xfId="0" applyFill="1" applyBorder="1" applyAlignment="1">
      <alignment horizontal="center" vertical="center"/>
    </xf>
    <xf numFmtId="0" fontId="0" fillId="3" borderId="54" xfId="0" applyFill="1" applyBorder="1" applyAlignment="1">
      <alignment horizontal="center" vertical="center"/>
    </xf>
    <xf numFmtId="0" fontId="0" fillId="0" borderId="2" xfId="0" applyBorder="1" applyAlignment="1">
      <alignment vertical="center"/>
    </xf>
    <xf numFmtId="0" fontId="0" fillId="0" borderId="3" xfId="0" applyBorder="1" applyAlignment="1">
      <alignment vertical="center"/>
    </xf>
    <xf numFmtId="0" fontId="0" fillId="0" borderId="94" xfId="0" applyBorder="1" applyAlignment="1">
      <alignment horizontal="center" vertical="center"/>
    </xf>
    <xf numFmtId="0" fontId="0" fillId="0" borderId="54" xfId="0" applyBorder="1" applyAlignment="1">
      <alignment horizontal="center" vertical="center"/>
    </xf>
    <xf numFmtId="0" fontId="0" fillId="0" borderId="13" xfId="0" applyBorder="1" applyAlignment="1">
      <alignment horizontal="center" vertical="center"/>
    </xf>
    <xf numFmtId="0" fontId="0" fillId="0" borderId="7" xfId="0" applyBorder="1" applyAlignment="1">
      <alignment horizontal="center" vertical="center"/>
    </xf>
    <xf numFmtId="0" fontId="0" fillId="0" borderId="54" xfId="0" applyBorder="1" applyAlignment="1">
      <alignment horizontal="left" vertical="center" wrapText="1"/>
    </xf>
    <xf numFmtId="0" fontId="0" fillId="0" borderId="55" xfId="0" applyBorder="1" applyAlignment="1">
      <alignment horizontal="left" vertical="center" wrapText="1"/>
    </xf>
    <xf numFmtId="0" fontId="0" fillId="0" borderId="56" xfId="0" applyBorder="1" applyAlignment="1">
      <alignment horizontal="left" vertical="center" wrapText="1"/>
    </xf>
    <xf numFmtId="0" fontId="0" fillId="0" borderId="0" xfId="0" applyBorder="1" applyAlignment="1">
      <alignment horizontal="left" vertical="center" wrapText="1"/>
    </xf>
    <xf numFmtId="0" fontId="0" fillId="0" borderId="57" xfId="0" applyBorder="1" applyAlignment="1">
      <alignment horizontal="left" vertical="center" wrapText="1"/>
    </xf>
    <xf numFmtId="0" fontId="0" fillId="3" borderId="112" xfId="0" applyFill="1" applyBorder="1" applyAlignment="1">
      <alignment horizontal="center" vertical="center"/>
    </xf>
    <xf numFmtId="0" fontId="0" fillId="0" borderId="10" xfId="0" applyFill="1" applyBorder="1" applyAlignment="1">
      <alignment horizontal="left" vertical="center"/>
    </xf>
    <xf numFmtId="0" fontId="0" fillId="0" borderId="11" xfId="0" applyFill="1" applyBorder="1" applyAlignment="1">
      <alignment horizontal="left" vertical="center"/>
    </xf>
    <xf numFmtId="0" fontId="0" fillId="0" borderId="12" xfId="0" applyFill="1" applyBorder="1" applyAlignment="1">
      <alignment horizontal="left" vertical="center"/>
    </xf>
    <xf numFmtId="0" fontId="0" fillId="0" borderId="13" xfId="0" applyBorder="1" applyAlignment="1">
      <alignment horizontal="left" vertical="center" wrapText="1"/>
    </xf>
    <xf numFmtId="0" fontId="0" fillId="0" borderId="7" xfId="0" applyBorder="1" applyAlignment="1">
      <alignment horizontal="left" vertical="center" wrapText="1"/>
    </xf>
    <xf numFmtId="0" fontId="0" fillId="0" borderId="9" xfId="0" applyBorder="1" applyAlignment="1">
      <alignment horizontal="left" vertical="center" wrapText="1"/>
    </xf>
    <xf numFmtId="0" fontId="0" fillId="0" borderId="150" xfId="0" applyBorder="1" applyAlignment="1">
      <alignment horizontal="left" vertical="center"/>
    </xf>
    <xf numFmtId="0" fontId="0" fillId="0" borderId="38" xfId="0" applyBorder="1" applyAlignment="1">
      <alignment horizontal="left" vertical="center"/>
    </xf>
    <xf numFmtId="0" fontId="0" fillId="0" borderId="141" xfId="0" applyBorder="1" applyAlignment="1">
      <alignment horizontal="left" vertical="center"/>
    </xf>
    <xf numFmtId="0" fontId="0" fillId="0" borderId="4" xfId="0" applyBorder="1" applyAlignment="1">
      <alignment horizontal="left" vertical="center"/>
    </xf>
    <xf numFmtId="0" fontId="0" fillId="3" borderId="1" xfId="0" applyFill="1" applyBorder="1" applyAlignment="1">
      <alignment horizontal="center" vertical="center"/>
    </xf>
    <xf numFmtId="0" fontId="0" fillId="0" borderId="150" xfId="0" applyFill="1" applyBorder="1" applyAlignment="1">
      <alignment horizontal="left" vertical="center"/>
    </xf>
    <xf numFmtId="0" fontId="0" fillId="0" borderId="38" xfId="0" applyFill="1" applyBorder="1" applyAlignment="1">
      <alignment horizontal="left" vertical="center"/>
    </xf>
    <xf numFmtId="0" fontId="0" fillId="0" borderId="135" xfId="0" applyFill="1" applyBorder="1" applyAlignment="1">
      <alignment horizontal="left" vertical="center"/>
    </xf>
    <xf numFmtId="0" fontId="0" fillId="0" borderId="151" xfId="0" applyFill="1" applyBorder="1" applyAlignment="1" applyProtection="1">
      <alignment vertical="center"/>
      <protection locked="0"/>
    </xf>
    <xf numFmtId="0" fontId="0" fillId="0" borderId="152" xfId="0" applyFill="1" applyBorder="1" applyAlignment="1" applyProtection="1">
      <alignment vertical="center"/>
      <protection locked="0"/>
    </xf>
    <xf numFmtId="0" fontId="0" fillId="0" borderId="153" xfId="0" applyFill="1" applyBorder="1" applyAlignment="1" applyProtection="1">
      <alignment vertical="center"/>
      <protection locked="0"/>
    </xf>
    <xf numFmtId="0" fontId="0" fillId="0" borderId="144" xfId="0" applyFill="1" applyBorder="1" applyAlignment="1" applyProtection="1">
      <alignment vertical="center"/>
      <protection locked="0"/>
    </xf>
    <xf numFmtId="0" fontId="0" fillId="0" borderId="63" xfId="0" applyFill="1" applyBorder="1" applyAlignment="1" applyProtection="1">
      <alignment vertical="center"/>
      <protection locked="0"/>
    </xf>
    <xf numFmtId="0" fontId="0" fillId="0" borderId="145" xfId="0" applyFill="1" applyBorder="1" applyAlignment="1" applyProtection="1">
      <alignment vertical="center"/>
      <protection locked="0"/>
    </xf>
    <xf numFmtId="0" fontId="0" fillId="0" borderId="2" xfId="0" applyBorder="1" applyAlignment="1">
      <alignment horizontal="center" vertical="center"/>
    </xf>
    <xf numFmtId="0" fontId="0" fillId="0" borderId="112" xfId="0" applyBorder="1" applyAlignment="1">
      <alignment horizontal="center" vertical="center"/>
    </xf>
    <xf numFmtId="0" fontId="0" fillId="0" borderId="146" xfId="0" applyBorder="1" applyAlignment="1" applyProtection="1">
      <alignment horizontal="right" vertical="center"/>
      <protection locked="0"/>
    </xf>
    <xf numFmtId="0" fontId="0" fillId="0" borderId="147" xfId="0" applyBorder="1" applyAlignment="1" applyProtection="1">
      <alignment horizontal="right" vertical="center"/>
      <protection locked="0"/>
    </xf>
    <xf numFmtId="0" fontId="0" fillId="0" borderId="148" xfId="0" applyBorder="1" applyAlignment="1" applyProtection="1">
      <alignment horizontal="right" vertical="center"/>
      <protection locked="0"/>
    </xf>
    <xf numFmtId="0" fontId="0" fillId="0" borderId="139" xfId="0" applyBorder="1" applyAlignment="1" applyProtection="1">
      <alignment horizontal="right" vertical="center"/>
      <protection locked="0"/>
    </xf>
    <xf numFmtId="0" fontId="0" fillId="0" borderId="2" xfId="0" applyBorder="1" applyAlignment="1" applyProtection="1">
      <alignment horizontal="right" vertical="center"/>
      <protection locked="0"/>
    </xf>
    <xf numFmtId="0" fontId="0" fillId="0" borderId="140" xfId="0" applyBorder="1" applyAlignment="1" applyProtection="1">
      <alignment horizontal="right" vertical="center"/>
      <protection locked="0"/>
    </xf>
    <xf numFmtId="0" fontId="0" fillId="3" borderId="82" xfId="0" applyFill="1" applyBorder="1" applyAlignment="1">
      <alignment horizontal="left" vertical="center"/>
    </xf>
    <xf numFmtId="0" fontId="0" fillId="3" borderId="2" xfId="0" applyFill="1" applyBorder="1" applyAlignment="1">
      <alignment horizontal="left" vertical="center"/>
    </xf>
    <xf numFmtId="38" fontId="1" fillId="23" borderId="146" xfId="1" applyFill="1" applyBorder="1" applyAlignment="1" applyProtection="1">
      <alignment horizontal="right" vertical="center"/>
      <protection locked="0"/>
    </xf>
    <xf numFmtId="38" fontId="1" fillId="23" borderId="147" xfId="1" applyFill="1" applyBorder="1" applyAlignment="1" applyProtection="1">
      <alignment horizontal="right" vertical="center"/>
      <protection locked="0"/>
    </xf>
    <xf numFmtId="38" fontId="1" fillId="23" borderId="148" xfId="1" applyFill="1" applyBorder="1" applyAlignment="1" applyProtection="1">
      <alignment horizontal="right" vertical="center"/>
      <protection locked="0"/>
    </xf>
    <xf numFmtId="0" fontId="0" fillId="3" borderId="94" xfId="0" applyFill="1" applyBorder="1" applyAlignment="1">
      <alignment horizontal="center" vertical="center"/>
    </xf>
    <xf numFmtId="0" fontId="0" fillId="3" borderId="3" xfId="0" applyFill="1" applyBorder="1" applyAlignment="1">
      <alignment horizontal="left" vertical="center"/>
    </xf>
    <xf numFmtId="0" fontId="0" fillId="3" borderId="55" xfId="0" applyFill="1" applyBorder="1" applyAlignment="1">
      <alignment horizontal="left" vertical="center"/>
    </xf>
    <xf numFmtId="38" fontId="1" fillId="0" borderId="94" xfId="1" applyFill="1" applyBorder="1" applyAlignment="1">
      <alignment horizontal="right" vertical="center"/>
    </xf>
    <xf numFmtId="38" fontId="1" fillId="0" borderId="54" xfId="1" applyFill="1" applyBorder="1" applyAlignment="1">
      <alignment horizontal="right" vertical="center"/>
    </xf>
    <xf numFmtId="38" fontId="1" fillId="0" borderId="2" xfId="1" applyFill="1" applyBorder="1" applyAlignment="1">
      <alignment horizontal="right" vertical="center"/>
    </xf>
    <xf numFmtId="0" fontId="0" fillId="0" borderId="2" xfId="0" applyFill="1" applyBorder="1" applyAlignment="1">
      <alignment vertical="center"/>
    </xf>
    <xf numFmtId="0" fontId="0" fillId="0" borderId="3" xfId="0" applyFill="1" applyBorder="1" applyAlignment="1">
      <alignment vertical="center"/>
    </xf>
    <xf numFmtId="0" fontId="0" fillId="0" borderId="136" xfId="0" applyBorder="1" applyAlignment="1" applyProtection="1">
      <alignment horizontal="right" vertical="center"/>
      <protection locked="0"/>
    </xf>
    <xf numFmtId="0" fontId="0" fillId="0" borderId="137" xfId="0" applyBorder="1" applyAlignment="1" applyProtection="1">
      <alignment horizontal="right" vertical="center"/>
      <protection locked="0"/>
    </xf>
    <xf numFmtId="0" fontId="0" fillId="0" borderId="138" xfId="0" applyBorder="1" applyAlignment="1" applyProtection="1">
      <alignment horizontal="right" vertical="center"/>
      <protection locked="0"/>
    </xf>
    <xf numFmtId="38" fontId="1" fillId="0" borderId="82" xfId="1" applyBorder="1" applyAlignment="1">
      <alignment horizontal="right" vertical="center"/>
    </xf>
    <xf numFmtId="38" fontId="1" fillId="0" borderId="2" xfId="1" applyBorder="1" applyAlignment="1">
      <alignment horizontal="right" vertical="center"/>
    </xf>
    <xf numFmtId="0" fontId="0" fillId="3" borderId="1" xfId="0" applyFill="1" applyBorder="1" applyAlignment="1">
      <alignment horizontal="left" vertical="center"/>
    </xf>
    <xf numFmtId="178" fontId="0" fillId="0" borderId="1" xfId="0" applyNumberFormat="1" applyFill="1" applyBorder="1" applyAlignment="1" applyProtection="1">
      <alignment horizontal="right" vertical="center"/>
      <protection locked="0"/>
    </xf>
    <xf numFmtId="178" fontId="0" fillId="0" borderId="2" xfId="0" applyNumberFormat="1" applyFill="1" applyBorder="1" applyAlignment="1" applyProtection="1">
      <alignment horizontal="right" vertical="center"/>
      <protection locked="0"/>
    </xf>
    <xf numFmtId="178" fontId="0" fillId="0" borderId="112" xfId="0" applyNumberFormat="1" applyFill="1" applyBorder="1" applyAlignment="1" applyProtection="1">
      <alignment horizontal="right" vertical="center"/>
      <protection locked="0"/>
    </xf>
    <xf numFmtId="0" fontId="0" fillId="0" borderId="2" xfId="0" applyBorder="1">
      <alignment vertical="center"/>
    </xf>
    <xf numFmtId="38" fontId="1" fillId="0" borderId="13" xfId="1" applyBorder="1" applyAlignment="1">
      <alignment horizontal="right" vertical="center"/>
    </xf>
    <xf numFmtId="38" fontId="1" fillId="0" borderId="7" xfId="1" applyBorder="1" applyAlignment="1">
      <alignment horizontal="right" vertical="center"/>
    </xf>
    <xf numFmtId="38" fontId="1" fillId="23" borderId="82" xfId="1" applyFill="1" applyBorder="1" applyAlignment="1">
      <alignment horizontal="right" vertical="center"/>
    </xf>
    <xf numFmtId="38" fontId="1" fillId="23" borderId="2" xfId="1" applyFill="1" applyBorder="1" applyAlignment="1">
      <alignment horizontal="right" vertical="center"/>
    </xf>
    <xf numFmtId="38" fontId="1" fillId="23" borderId="54" xfId="1" applyFill="1" applyBorder="1" applyAlignment="1">
      <alignment horizontal="right" vertical="center"/>
    </xf>
    <xf numFmtId="0" fontId="0" fillId="23" borderId="54" xfId="0" applyFill="1" applyBorder="1" applyAlignment="1">
      <alignment vertical="center"/>
    </xf>
    <xf numFmtId="0" fontId="0" fillId="23" borderId="3" xfId="0" applyFill="1" applyBorder="1" applyAlignment="1">
      <alignment vertical="center"/>
    </xf>
    <xf numFmtId="0" fontId="0" fillId="23" borderId="139" xfId="0" applyFill="1" applyBorder="1" applyAlignment="1" applyProtection="1">
      <alignment horizontal="right" vertical="center"/>
      <protection locked="0"/>
    </xf>
    <xf numFmtId="0" fontId="0" fillId="23" borderId="2" xfId="0" applyFill="1" applyBorder="1" applyAlignment="1" applyProtection="1">
      <alignment horizontal="right" vertical="center"/>
      <protection locked="0"/>
    </xf>
    <xf numFmtId="0" fontId="0" fillId="23" borderId="140" xfId="0" applyFill="1" applyBorder="1" applyAlignment="1" applyProtection="1">
      <alignment horizontal="right" vertical="center"/>
      <protection locked="0"/>
    </xf>
    <xf numFmtId="0" fontId="0" fillId="3" borderId="141" xfId="0" applyFill="1" applyBorder="1" applyAlignment="1">
      <alignment horizontal="left" vertical="center"/>
    </xf>
    <xf numFmtId="0" fontId="0" fillId="3" borderId="4" xfId="0" applyFill="1" applyBorder="1" applyAlignment="1">
      <alignment horizontal="left" vertical="center"/>
    </xf>
    <xf numFmtId="178" fontId="0" fillId="23" borderId="142" xfId="0" applyNumberFormat="1" applyFill="1" applyBorder="1" applyAlignment="1" applyProtection="1">
      <alignment horizontal="right" vertical="center"/>
      <protection locked="0"/>
    </xf>
    <xf numFmtId="178" fontId="0" fillId="23" borderId="4" xfId="0" applyNumberFormat="1" applyFill="1" applyBorder="1" applyAlignment="1" applyProtection="1">
      <alignment horizontal="right" vertical="center"/>
      <protection locked="0"/>
    </xf>
    <xf numFmtId="178" fontId="0" fillId="23" borderId="143" xfId="0" applyNumberFormat="1" applyFill="1" applyBorder="1" applyAlignment="1" applyProtection="1">
      <alignment horizontal="right" vertical="center"/>
      <protection locked="0"/>
    </xf>
    <xf numFmtId="0" fontId="0" fillId="3" borderId="64" xfId="0" applyFill="1" applyBorder="1" applyAlignment="1">
      <alignment horizontal="left" vertical="center"/>
    </xf>
    <xf numFmtId="0" fontId="0" fillId="3" borderId="63" xfId="0" applyFill="1" applyBorder="1" applyAlignment="1">
      <alignment horizontal="left" vertical="center"/>
    </xf>
    <xf numFmtId="178" fontId="0" fillId="23" borderId="144" xfId="0" applyNumberFormat="1" applyFill="1" applyBorder="1" applyAlignment="1" applyProtection="1">
      <alignment horizontal="right" vertical="center"/>
      <protection locked="0"/>
    </xf>
    <xf numFmtId="178" fontId="0" fillId="23" borderId="63" xfId="0" applyNumberFormat="1" applyFill="1" applyBorder="1" applyAlignment="1" applyProtection="1">
      <alignment horizontal="right" vertical="center"/>
      <protection locked="0"/>
    </xf>
    <xf numFmtId="178" fontId="0" fillId="23" borderId="145" xfId="0" applyNumberFormat="1" applyFill="1" applyBorder="1" applyAlignment="1" applyProtection="1">
      <alignment horizontal="right" vertical="center"/>
      <protection locked="0"/>
    </xf>
    <xf numFmtId="0" fontId="0" fillId="3" borderId="94" xfId="0" applyFill="1" applyBorder="1" applyAlignment="1">
      <alignment horizontal="center" vertical="top" wrapText="1"/>
    </xf>
    <xf numFmtId="0" fontId="0" fillId="3" borderId="54" xfId="0" applyFill="1" applyBorder="1" applyAlignment="1">
      <alignment horizontal="center" vertical="top" wrapText="1"/>
    </xf>
    <xf numFmtId="0" fontId="0" fillId="3" borderId="55" xfId="0" applyFill="1" applyBorder="1" applyAlignment="1">
      <alignment horizontal="center" vertical="top" wrapText="1"/>
    </xf>
    <xf numFmtId="0" fontId="0" fillId="3" borderId="56" xfId="0" applyFill="1" applyBorder="1" applyAlignment="1">
      <alignment horizontal="center" vertical="top" wrapText="1"/>
    </xf>
    <xf numFmtId="0" fontId="0" fillId="3" borderId="0" xfId="0" applyFill="1" applyBorder="1" applyAlignment="1">
      <alignment horizontal="center" vertical="top" wrapText="1"/>
    </xf>
    <xf numFmtId="0" fontId="0" fillId="3" borderId="57" xfId="0" applyFill="1" applyBorder="1" applyAlignment="1">
      <alignment horizontal="center" vertical="top" wrapText="1"/>
    </xf>
    <xf numFmtId="0" fontId="0" fillId="3" borderId="13" xfId="0" applyFill="1" applyBorder="1" applyAlignment="1">
      <alignment horizontal="center" vertical="top" wrapText="1"/>
    </xf>
    <xf numFmtId="0" fontId="0" fillId="3" borderId="7" xfId="0" applyFill="1" applyBorder="1" applyAlignment="1">
      <alignment horizontal="center" vertical="top" wrapText="1"/>
    </xf>
    <xf numFmtId="0" fontId="0" fillId="3" borderId="9" xfId="0" applyFill="1" applyBorder="1" applyAlignment="1">
      <alignment horizontal="center" vertical="top" wrapText="1"/>
    </xf>
    <xf numFmtId="0" fontId="0" fillId="3" borderId="56" xfId="0" applyFill="1" applyBorder="1" applyAlignment="1">
      <alignment horizontal="left" vertical="center"/>
    </xf>
    <xf numFmtId="0" fontId="0" fillId="3" borderId="0" xfId="0" applyFill="1" applyBorder="1" applyAlignment="1">
      <alignment horizontal="left" vertical="center"/>
    </xf>
    <xf numFmtId="0" fontId="0" fillId="3" borderId="57" xfId="0" applyFill="1" applyBorder="1" applyAlignment="1">
      <alignment horizontal="left" vertical="center"/>
    </xf>
    <xf numFmtId="0" fontId="0" fillId="3" borderId="13" xfId="0" applyFill="1" applyBorder="1" applyAlignment="1">
      <alignment horizontal="left" vertical="center"/>
    </xf>
    <xf numFmtId="0" fontId="0" fillId="3" borderId="7" xfId="0" applyFill="1" applyBorder="1" applyAlignment="1">
      <alignment horizontal="left" vertical="center"/>
    </xf>
    <xf numFmtId="0" fontId="0" fillId="3" borderId="9" xfId="0" applyFill="1" applyBorder="1" applyAlignment="1">
      <alignment horizontal="left" vertical="center"/>
    </xf>
    <xf numFmtId="0" fontId="0" fillId="3" borderId="82" xfId="0" applyFill="1" applyBorder="1" applyAlignment="1">
      <alignment vertical="center"/>
    </xf>
    <xf numFmtId="0" fontId="0" fillId="3" borderId="2" xfId="0" applyFill="1" applyBorder="1" applyAlignment="1">
      <alignment vertical="center"/>
    </xf>
    <xf numFmtId="38" fontId="1" fillId="23" borderId="136" xfId="1" applyFill="1" applyBorder="1" applyAlignment="1" applyProtection="1">
      <alignment horizontal="right" vertical="center"/>
      <protection locked="0"/>
    </xf>
    <xf numFmtId="38" fontId="1" fillId="23" borderId="137" xfId="1" applyFill="1" applyBorder="1" applyAlignment="1" applyProtection="1">
      <alignment horizontal="right" vertical="center"/>
      <protection locked="0"/>
    </xf>
    <xf numFmtId="38" fontId="1" fillId="23" borderId="138" xfId="1" applyFill="1" applyBorder="1" applyAlignment="1" applyProtection="1">
      <alignment horizontal="right" vertical="center"/>
      <protection locked="0"/>
    </xf>
    <xf numFmtId="38" fontId="1" fillId="23" borderId="139" xfId="1" applyFill="1" applyBorder="1" applyAlignment="1" applyProtection="1">
      <alignment horizontal="right" vertical="center"/>
      <protection locked="0"/>
    </xf>
    <xf numFmtId="38" fontId="1" fillId="23" borderId="2" xfId="1" applyFill="1" applyBorder="1" applyAlignment="1" applyProtection="1">
      <alignment horizontal="right" vertical="center"/>
      <protection locked="0"/>
    </xf>
    <xf numFmtId="38" fontId="1" fillId="23" borderId="140" xfId="1" applyFill="1" applyBorder="1" applyAlignment="1" applyProtection="1">
      <alignment horizontal="right" vertical="center"/>
      <protection locked="0"/>
    </xf>
    <xf numFmtId="0" fontId="0" fillId="23" borderId="129" xfId="0" applyFill="1" applyBorder="1" applyAlignment="1" applyProtection="1">
      <alignment horizontal="right" vertical="center"/>
      <protection locked="0"/>
    </xf>
    <xf numFmtId="0" fontId="0" fillId="23" borderId="130" xfId="0" applyFill="1" applyBorder="1" applyAlignment="1" applyProtection="1">
      <alignment horizontal="right" vertical="center"/>
      <protection locked="0"/>
    </xf>
    <xf numFmtId="0" fontId="0" fillId="23" borderId="131" xfId="0" applyFill="1" applyBorder="1" applyAlignment="1" applyProtection="1">
      <alignment horizontal="right" vertical="center"/>
      <protection locked="0"/>
    </xf>
    <xf numFmtId="0" fontId="0" fillId="26" borderId="132" xfId="0" applyFill="1" applyBorder="1" applyAlignment="1" applyProtection="1">
      <alignment vertical="center"/>
      <protection locked="0"/>
    </xf>
    <xf numFmtId="0" fontId="0" fillId="26" borderId="133" xfId="0" applyFill="1" applyBorder="1" applyAlignment="1" applyProtection="1">
      <alignment vertical="center"/>
      <protection locked="0"/>
    </xf>
    <xf numFmtId="0" fontId="0" fillId="26" borderId="134" xfId="0" applyFill="1" applyBorder="1" applyAlignment="1" applyProtection="1">
      <alignment vertical="center"/>
      <protection locked="0"/>
    </xf>
    <xf numFmtId="0" fontId="0" fillId="0" borderId="135" xfId="0" applyBorder="1" applyAlignment="1">
      <alignment horizontal="right" vertical="center"/>
    </xf>
    <xf numFmtId="0" fontId="0" fillId="0" borderId="6" xfId="0" applyBorder="1" applyAlignment="1">
      <alignment horizontal="right" vertical="center"/>
    </xf>
    <xf numFmtId="0" fontId="0" fillId="23" borderId="136" xfId="0" applyFill="1" applyBorder="1" applyAlignment="1" applyProtection="1">
      <alignment horizontal="right" vertical="center"/>
      <protection locked="0"/>
    </xf>
    <xf numFmtId="0" fontId="0" fillId="23" borderId="137" xfId="0" applyFill="1" applyBorder="1" applyAlignment="1" applyProtection="1">
      <alignment horizontal="right" vertical="center"/>
      <protection locked="0"/>
    </xf>
    <xf numFmtId="0" fontId="0" fillId="23" borderId="138" xfId="0" applyFill="1" applyBorder="1" applyAlignment="1" applyProtection="1">
      <alignment horizontal="right" vertical="center"/>
      <protection locked="0"/>
    </xf>
    <xf numFmtId="0" fontId="0" fillId="0" borderId="55" xfId="0" applyBorder="1" applyAlignment="1">
      <alignment horizontal="left" vertical="center"/>
    </xf>
    <xf numFmtId="0" fontId="0" fillId="0" borderId="9" xfId="0" applyBorder="1" applyAlignment="1">
      <alignment horizontal="left" vertical="center"/>
    </xf>
    <xf numFmtId="0" fontId="0" fillId="0" borderId="64" xfId="0" applyFill="1" applyBorder="1" applyAlignment="1">
      <alignment horizontal="left" vertical="center"/>
    </xf>
    <xf numFmtId="0" fontId="0" fillId="0" borderId="63" xfId="0" applyFill="1" applyBorder="1" applyAlignment="1">
      <alignment horizontal="left" vertical="center"/>
    </xf>
    <xf numFmtId="0" fontId="0" fillId="0" borderId="60" xfId="0" applyFill="1" applyBorder="1" applyAlignment="1">
      <alignment horizontal="left" vertical="center"/>
    </xf>
    <xf numFmtId="0" fontId="0" fillId="0" borderId="11" xfId="0" applyFill="1" applyBorder="1">
      <alignment vertical="center"/>
    </xf>
    <xf numFmtId="0" fontId="0" fillId="0" borderId="63" xfId="0" applyFill="1" applyBorder="1">
      <alignment vertical="center"/>
    </xf>
    <xf numFmtId="0" fontId="8" fillId="23" borderId="129" xfId="0" applyFont="1" applyFill="1" applyBorder="1" applyAlignment="1">
      <alignment horizontal="center" vertical="center"/>
    </xf>
    <xf numFmtId="0" fontId="8" fillId="23" borderId="131" xfId="0" applyFont="1" applyFill="1" applyBorder="1" applyAlignment="1">
      <alignment horizontal="center" vertical="center"/>
    </xf>
    <xf numFmtId="0" fontId="8" fillId="0" borderId="129" xfId="0" applyFont="1" applyFill="1" applyBorder="1" applyAlignment="1">
      <alignment horizontal="center" vertical="center"/>
    </xf>
    <xf numFmtId="0" fontId="8" fillId="0" borderId="131" xfId="0" applyFont="1" applyFill="1" applyBorder="1" applyAlignment="1">
      <alignment horizontal="center" vertical="center"/>
    </xf>
    <xf numFmtId="0" fontId="8" fillId="27" borderId="162" xfId="0" applyFont="1" applyFill="1" applyBorder="1" applyAlignment="1">
      <alignment horizontal="center" vertical="center"/>
    </xf>
    <xf numFmtId="0" fontId="8" fillId="27" borderId="163" xfId="0" applyFont="1" applyFill="1" applyBorder="1" applyAlignment="1">
      <alignment horizontal="center" vertical="center"/>
    </xf>
    <xf numFmtId="0" fontId="3" fillId="0" borderId="0" xfId="0" applyFont="1" applyFill="1" applyBorder="1" applyAlignment="1">
      <alignment vertical="top" wrapText="1"/>
    </xf>
    <xf numFmtId="0" fontId="3" fillId="0" borderId="0" xfId="0" applyFont="1" applyFill="1" applyBorder="1" applyAlignment="1">
      <alignment vertical="top"/>
    </xf>
    <xf numFmtId="0" fontId="12" fillId="2" borderId="29" xfId="0" applyFont="1" applyFill="1" applyBorder="1" applyAlignment="1">
      <alignment vertical="center"/>
    </xf>
    <xf numFmtId="0" fontId="12" fillId="2" borderId="15" xfId="0" applyFont="1" applyFill="1" applyBorder="1" applyAlignment="1">
      <alignment vertical="center"/>
    </xf>
    <xf numFmtId="0" fontId="12" fillId="2" borderId="25" xfId="0" applyFont="1" applyFill="1" applyBorder="1" applyAlignment="1">
      <alignment vertical="center"/>
    </xf>
    <xf numFmtId="9" fontId="8" fillId="0" borderId="129" xfId="0" applyNumberFormat="1" applyFont="1" applyFill="1" applyBorder="1" applyAlignment="1" applyProtection="1">
      <alignment vertical="center"/>
      <protection locked="0"/>
    </xf>
    <xf numFmtId="9" fontId="8" fillId="0" borderId="131" xfId="0" applyNumberFormat="1" applyFont="1" applyFill="1" applyBorder="1" applyAlignment="1" applyProtection="1">
      <alignment vertical="center"/>
      <protection locked="0"/>
    </xf>
    <xf numFmtId="177" fontId="8" fillId="0" borderId="160" xfId="0" applyNumberFormat="1" applyFont="1" applyFill="1" applyBorder="1" applyAlignment="1" applyProtection="1">
      <alignment vertical="center"/>
      <protection locked="0"/>
    </xf>
    <xf numFmtId="177" fontId="8" fillId="0" borderId="161" xfId="0" applyNumberFormat="1" applyFont="1" applyFill="1" applyBorder="1" applyAlignment="1" applyProtection="1">
      <alignment vertical="center"/>
      <protection locked="0"/>
    </xf>
    <xf numFmtId="177" fontId="8" fillId="24" borderId="129" xfId="0" applyNumberFormat="1" applyFont="1" applyFill="1" applyBorder="1" applyAlignment="1" applyProtection="1">
      <alignment vertical="center"/>
      <protection locked="0"/>
    </xf>
    <xf numFmtId="177" fontId="8" fillId="24" borderId="131" xfId="0" applyNumberFormat="1" applyFont="1" applyFill="1" applyBorder="1" applyAlignment="1" applyProtection="1">
      <alignment vertical="center"/>
      <protection locked="0"/>
    </xf>
    <xf numFmtId="9" fontId="8" fillId="24" borderId="129" xfId="0" applyNumberFormat="1" applyFont="1" applyFill="1" applyBorder="1" applyAlignment="1" applyProtection="1">
      <alignment vertical="center"/>
      <protection locked="0"/>
    </xf>
    <xf numFmtId="9" fontId="8" fillId="24" borderId="131" xfId="0" applyNumberFormat="1" applyFont="1" applyFill="1" applyBorder="1" applyAlignment="1" applyProtection="1">
      <alignment vertical="center"/>
      <protection locked="0"/>
    </xf>
    <xf numFmtId="182" fontId="8" fillId="27" borderId="5" xfId="0" applyNumberFormat="1" applyFont="1" applyFill="1" applyBorder="1" applyAlignment="1">
      <alignment vertical="center"/>
    </xf>
    <xf numFmtId="182" fontId="8" fillId="27" borderId="79" xfId="0" applyNumberFormat="1" applyFont="1" applyFill="1" applyBorder="1" applyAlignment="1">
      <alignment vertical="center"/>
    </xf>
    <xf numFmtId="9" fontId="9" fillId="0" borderId="0" xfId="0" applyNumberFormat="1" applyFont="1" applyFill="1" applyBorder="1" applyAlignment="1">
      <alignment vertical="center"/>
    </xf>
    <xf numFmtId="177" fontId="8" fillId="0" borderId="129" xfId="0" applyNumberFormat="1" applyFont="1" applyFill="1" applyBorder="1" applyAlignment="1" applyProtection="1">
      <alignment vertical="center"/>
      <protection locked="0"/>
    </xf>
    <xf numFmtId="177" fontId="8" fillId="0" borderId="131" xfId="0" applyNumberFormat="1" applyFont="1" applyFill="1" applyBorder="1" applyAlignment="1" applyProtection="1">
      <alignment vertical="center"/>
      <protection locked="0"/>
    </xf>
    <xf numFmtId="177" fontId="8" fillId="24" borderId="160" xfId="0" applyNumberFormat="1" applyFont="1" applyFill="1" applyBorder="1" applyAlignment="1" applyProtection="1">
      <alignment vertical="center"/>
      <protection locked="0"/>
    </xf>
    <xf numFmtId="177" fontId="8" fillId="24" borderId="161" xfId="0" applyNumberFormat="1" applyFont="1" applyFill="1" applyBorder="1" applyAlignment="1" applyProtection="1">
      <alignment vertical="center"/>
      <protection locked="0"/>
    </xf>
    <xf numFmtId="182" fontId="8" fillId="23" borderId="129" xfId="0" applyNumberFormat="1" applyFont="1" applyFill="1" applyBorder="1" applyAlignment="1" applyProtection="1">
      <alignment vertical="center"/>
      <protection locked="0"/>
    </xf>
    <xf numFmtId="182" fontId="8" fillId="23" borderId="131" xfId="0" applyNumberFormat="1" applyFont="1" applyFill="1" applyBorder="1" applyAlignment="1" applyProtection="1">
      <alignment vertical="center"/>
      <protection locked="0"/>
    </xf>
    <xf numFmtId="182" fontId="8" fillId="24" borderId="160" xfId="0" applyNumberFormat="1" applyFont="1" applyFill="1" applyBorder="1" applyAlignment="1" applyProtection="1">
      <alignment vertical="center"/>
      <protection locked="0"/>
    </xf>
    <xf numFmtId="182" fontId="8" fillId="24" borderId="161" xfId="0" applyNumberFormat="1" applyFont="1" applyFill="1" applyBorder="1" applyAlignment="1" applyProtection="1">
      <alignment vertical="center"/>
      <protection locked="0"/>
    </xf>
    <xf numFmtId="9" fontId="8" fillId="23" borderId="129" xfId="0" applyNumberFormat="1" applyFont="1" applyFill="1" applyBorder="1" applyAlignment="1" applyProtection="1">
      <alignment vertical="center"/>
      <protection locked="0"/>
    </xf>
    <xf numFmtId="9" fontId="8" fillId="23" borderId="131" xfId="0" applyNumberFormat="1" applyFont="1" applyFill="1" applyBorder="1" applyAlignment="1" applyProtection="1">
      <alignment vertical="center"/>
      <protection locked="0"/>
    </xf>
    <xf numFmtId="9" fontId="9" fillId="0" borderId="164" xfId="0" applyNumberFormat="1" applyFont="1" applyFill="1" applyBorder="1" applyAlignment="1">
      <alignment vertical="center"/>
    </xf>
    <xf numFmtId="182" fontId="8" fillId="27" borderId="162" xfId="0" applyNumberFormat="1" applyFont="1" applyFill="1" applyBorder="1" applyAlignment="1">
      <alignment vertical="center"/>
    </xf>
    <xf numFmtId="182" fontId="8" fillId="27" borderId="163" xfId="0" applyNumberFormat="1" applyFont="1" applyFill="1" applyBorder="1" applyAlignment="1">
      <alignment vertical="center"/>
    </xf>
    <xf numFmtId="185" fontId="8" fillId="24" borderId="129" xfId="0" applyNumberFormat="1" applyFont="1" applyFill="1" applyBorder="1" applyAlignment="1" applyProtection="1">
      <alignment vertical="center"/>
      <protection locked="0"/>
    </xf>
    <xf numFmtId="185" fontId="8" fillId="24" borderId="131" xfId="0" applyNumberFormat="1" applyFont="1" applyFill="1" applyBorder="1" applyAlignment="1" applyProtection="1">
      <alignment vertical="center"/>
      <protection locked="0"/>
    </xf>
    <xf numFmtId="177" fontId="8" fillId="0" borderId="129" xfId="0" applyNumberFormat="1" applyFont="1" applyFill="1" applyBorder="1" applyAlignment="1">
      <alignment vertical="center"/>
    </xf>
    <xf numFmtId="177" fontId="8" fillId="0" borderId="131" xfId="0" applyNumberFormat="1" applyFont="1" applyFill="1" applyBorder="1" applyAlignment="1">
      <alignment vertical="center"/>
    </xf>
    <xf numFmtId="185" fontId="8" fillId="27" borderId="162" xfId="0" applyNumberFormat="1" applyFont="1" applyFill="1" applyBorder="1" applyAlignment="1">
      <alignment vertical="center"/>
    </xf>
    <xf numFmtId="185" fontId="8" fillId="27" borderId="163" xfId="0" applyNumberFormat="1" applyFont="1" applyFill="1" applyBorder="1" applyAlignment="1">
      <alignment vertical="center"/>
    </xf>
    <xf numFmtId="177" fontId="8" fillId="23" borderId="160" xfId="0" applyNumberFormat="1" applyFont="1" applyFill="1" applyBorder="1" applyAlignment="1" applyProtection="1">
      <alignment vertical="center"/>
      <protection locked="0"/>
    </xf>
    <xf numFmtId="177" fontId="8" fillId="23" borderId="161" xfId="0" applyNumberFormat="1" applyFont="1" applyFill="1" applyBorder="1" applyAlignment="1" applyProtection="1">
      <alignment vertical="center"/>
      <protection locked="0"/>
    </xf>
    <xf numFmtId="185" fontId="8" fillId="23" borderId="129" xfId="0" applyNumberFormat="1" applyFont="1" applyFill="1" applyBorder="1" applyAlignment="1" applyProtection="1">
      <alignment vertical="center"/>
      <protection locked="0"/>
    </xf>
    <xf numFmtId="185" fontId="8" fillId="23" borderId="131" xfId="0" applyNumberFormat="1" applyFont="1" applyFill="1" applyBorder="1" applyAlignment="1" applyProtection="1">
      <alignment vertical="center"/>
      <protection locked="0"/>
    </xf>
    <xf numFmtId="185" fontId="8" fillId="23" borderId="160" xfId="0" applyNumberFormat="1" applyFont="1" applyFill="1" applyBorder="1" applyAlignment="1" applyProtection="1">
      <alignment vertical="center"/>
      <protection locked="0"/>
    </xf>
    <xf numFmtId="185" fontId="8" fillId="23" borderId="161" xfId="0" applyNumberFormat="1" applyFont="1" applyFill="1" applyBorder="1" applyAlignment="1" applyProtection="1">
      <alignment vertical="center"/>
      <protection locked="0"/>
    </xf>
    <xf numFmtId="182" fontId="8" fillId="24" borderId="129" xfId="0" applyNumberFormat="1" applyFont="1" applyFill="1" applyBorder="1" applyAlignment="1" applyProtection="1">
      <alignment vertical="center"/>
      <protection locked="0"/>
    </xf>
    <xf numFmtId="182" fontId="8" fillId="24" borderId="131" xfId="0" applyNumberFormat="1" applyFont="1" applyFill="1" applyBorder="1" applyAlignment="1" applyProtection="1">
      <alignment vertical="center"/>
      <protection locked="0"/>
    </xf>
    <xf numFmtId="3" fontId="8" fillId="27" borderId="29" xfId="0" applyNumberFormat="1" applyFont="1" applyFill="1" applyBorder="1" applyAlignment="1" applyProtection="1">
      <alignment vertical="center"/>
      <protection locked="0"/>
    </xf>
    <xf numFmtId="3" fontId="8" fillId="27" borderId="25" xfId="0" applyNumberFormat="1" applyFont="1" applyFill="1" applyBorder="1" applyAlignment="1" applyProtection="1">
      <alignment vertical="center"/>
      <protection locked="0"/>
    </xf>
    <xf numFmtId="3" fontId="8" fillId="24" borderId="129" xfId="0" applyNumberFormat="1" applyFont="1" applyFill="1" applyBorder="1" applyAlignment="1" applyProtection="1">
      <alignment vertical="center"/>
      <protection locked="0"/>
    </xf>
    <xf numFmtId="3" fontId="8" fillId="24" borderId="131" xfId="0" applyNumberFormat="1" applyFont="1" applyFill="1" applyBorder="1" applyAlignment="1" applyProtection="1">
      <alignment vertical="center"/>
      <protection locked="0"/>
    </xf>
    <xf numFmtId="3" fontId="8" fillId="27" borderId="29" xfId="0" applyNumberFormat="1" applyFont="1" applyFill="1" applyBorder="1" applyAlignment="1">
      <alignment vertical="center"/>
    </xf>
    <xf numFmtId="3" fontId="8" fillId="27" borderId="25" xfId="0" applyNumberFormat="1" applyFont="1" applyFill="1" applyBorder="1" applyAlignment="1">
      <alignment vertical="center"/>
    </xf>
    <xf numFmtId="0" fontId="10" fillId="0" borderId="165" xfId="0" applyFont="1" applyFill="1" applyBorder="1" applyAlignment="1">
      <alignment vertical="top" wrapText="1"/>
    </xf>
    <xf numFmtId="0" fontId="10" fillId="0" borderId="44" xfId="0" applyFont="1" applyFill="1" applyBorder="1" applyAlignment="1">
      <alignment vertical="top" wrapText="1"/>
    </xf>
    <xf numFmtId="0" fontId="10" fillId="0" borderId="166" xfId="0" applyFont="1" applyFill="1" applyBorder="1" applyAlignment="1">
      <alignment vertical="top" wrapText="1"/>
    </xf>
    <xf numFmtId="0" fontId="10" fillId="0" borderId="58" xfId="0" applyFont="1" applyFill="1" applyBorder="1" applyAlignment="1">
      <alignment vertical="top" wrapText="1"/>
    </xf>
    <xf numFmtId="0" fontId="10" fillId="0" borderId="19" xfId="0" applyFont="1" applyFill="1" applyBorder="1" applyAlignment="1">
      <alignment vertical="top" wrapText="1"/>
    </xf>
    <xf numFmtId="0" fontId="10" fillId="0" borderId="59" xfId="0" applyFont="1" applyFill="1" applyBorder="1" applyAlignment="1">
      <alignment vertical="top" wrapText="1"/>
    </xf>
    <xf numFmtId="3" fontId="8" fillId="23" borderId="129" xfId="0" applyNumberFormat="1" applyFont="1" applyFill="1" applyBorder="1" applyAlignment="1" applyProtection="1">
      <alignment vertical="center"/>
      <protection locked="0"/>
    </xf>
    <xf numFmtId="3" fontId="8" fillId="23" borderId="131" xfId="0" applyNumberFormat="1" applyFont="1" applyFill="1" applyBorder="1" applyAlignment="1" applyProtection="1">
      <alignment vertical="center"/>
      <protection locked="0"/>
    </xf>
    <xf numFmtId="3" fontId="8" fillId="0" borderId="167" xfId="0" applyNumberFormat="1" applyFont="1" applyFill="1" applyBorder="1" applyAlignment="1" applyProtection="1">
      <alignment vertical="center"/>
      <protection locked="0"/>
    </xf>
    <xf numFmtId="3" fontId="8" fillId="0" borderId="168" xfId="0" applyNumberFormat="1" applyFont="1" applyFill="1" applyBorder="1" applyAlignment="1" applyProtection="1">
      <alignment vertical="center"/>
      <protection locked="0"/>
    </xf>
    <xf numFmtId="0" fontId="8" fillId="0" borderId="129" xfId="0" applyNumberFormat="1" applyFont="1" applyFill="1" applyBorder="1" applyAlignment="1" applyProtection="1">
      <alignment vertical="center"/>
      <protection locked="0"/>
    </xf>
    <xf numFmtId="0" fontId="8" fillId="0" borderId="131" xfId="0" applyNumberFormat="1" applyFont="1" applyFill="1" applyBorder="1" applyAlignment="1" applyProtection="1">
      <alignment vertical="center"/>
      <protection locked="0"/>
    </xf>
    <xf numFmtId="0" fontId="8" fillId="23" borderId="129" xfId="0" applyNumberFormat="1" applyFont="1" applyFill="1" applyBorder="1" applyAlignment="1" applyProtection="1">
      <alignment vertical="center"/>
      <protection locked="0"/>
    </xf>
    <xf numFmtId="0" fontId="8" fillId="23" borderId="131" xfId="0" applyNumberFormat="1" applyFont="1" applyFill="1" applyBorder="1" applyAlignment="1" applyProtection="1">
      <alignment vertical="center"/>
      <protection locked="0"/>
    </xf>
    <xf numFmtId="185" fontId="8" fillId="27" borderId="68" xfId="0" applyNumberFormat="1" applyFont="1" applyFill="1" applyBorder="1" applyAlignment="1">
      <alignment vertical="center"/>
    </xf>
    <xf numFmtId="185" fontId="8" fillId="0" borderId="169" xfId="0" applyNumberFormat="1" applyFont="1" applyFill="1" applyBorder="1" applyAlignment="1" applyProtection="1">
      <alignment vertical="center"/>
      <protection locked="0"/>
    </xf>
    <xf numFmtId="185" fontId="8" fillId="0" borderId="170" xfId="0" applyNumberFormat="1" applyFont="1" applyFill="1" applyBorder="1" applyAlignment="1" applyProtection="1">
      <alignment vertical="center"/>
      <protection locked="0"/>
    </xf>
    <xf numFmtId="185" fontId="8" fillId="27" borderId="66" xfId="0" applyNumberFormat="1" applyFont="1" applyFill="1" applyBorder="1" applyAlignment="1">
      <alignment vertical="center"/>
    </xf>
    <xf numFmtId="178" fontId="8" fillId="23" borderId="129" xfId="0" applyNumberFormat="1" applyFont="1" applyFill="1" applyBorder="1" applyAlignment="1" applyProtection="1">
      <alignment vertical="center"/>
      <protection locked="0"/>
    </xf>
    <xf numFmtId="178" fontId="8" fillId="23" borderId="131" xfId="0" applyNumberFormat="1" applyFont="1" applyFill="1" applyBorder="1" applyAlignment="1" applyProtection="1">
      <alignment vertical="center"/>
      <protection locked="0"/>
    </xf>
    <xf numFmtId="181" fontId="8" fillId="0" borderId="132" xfId="0" applyNumberFormat="1" applyFont="1" applyFill="1" applyBorder="1" applyAlignment="1" applyProtection="1">
      <alignment vertical="center"/>
      <protection locked="0"/>
    </xf>
    <xf numFmtId="181" fontId="8" fillId="0" borderId="133" xfId="0" applyNumberFormat="1" applyFont="1" applyFill="1" applyBorder="1" applyAlignment="1" applyProtection="1">
      <alignment vertical="center"/>
      <protection locked="0"/>
    </xf>
    <xf numFmtId="181" fontId="8" fillId="0" borderId="134" xfId="0" applyNumberFormat="1" applyFont="1" applyFill="1" applyBorder="1" applyAlignment="1" applyProtection="1">
      <alignment vertical="center"/>
      <protection locked="0"/>
    </xf>
    <xf numFmtId="181" fontId="8" fillId="0" borderId="129" xfId="0" applyNumberFormat="1" applyFont="1" applyFill="1" applyBorder="1" applyAlignment="1" applyProtection="1">
      <alignment vertical="center"/>
      <protection locked="0"/>
    </xf>
    <xf numFmtId="181" fontId="8" fillId="0" borderId="130" xfId="0" applyNumberFormat="1" applyFont="1" applyFill="1" applyBorder="1" applyAlignment="1" applyProtection="1">
      <alignment vertical="center"/>
      <protection locked="0"/>
    </xf>
    <xf numFmtId="181" fontId="8" fillId="0" borderId="131" xfId="0" applyNumberFormat="1" applyFont="1" applyFill="1" applyBorder="1" applyAlignment="1" applyProtection="1">
      <alignment vertical="center"/>
      <protection locked="0"/>
    </xf>
    <xf numFmtId="0" fontId="8" fillId="0" borderId="132" xfId="0" applyNumberFormat="1" applyFont="1" applyFill="1" applyBorder="1" applyAlignment="1" applyProtection="1">
      <alignment vertical="center"/>
      <protection locked="0"/>
    </xf>
    <xf numFmtId="0" fontId="8" fillId="0" borderId="133" xfId="0" applyNumberFormat="1" applyFont="1" applyFill="1" applyBorder="1" applyAlignment="1" applyProtection="1">
      <alignment vertical="center"/>
      <protection locked="0"/>
    </xf>
    <xf numFmtId="0" fontId="8" fillId="0" borderId="134" xfId="0" applyNumberFormat="1" applyFont="1" applyFill="1" applyBorder="1" applyAlignment="1" applyProtection="1">
      <alignment vertical="center"/>
      <protection locked="0"/>
    </xf>
    <xf numFmtId="187" fontId="8" fillId="0" borderId="132" xfId="0" applyNumberFormat="1" applyFont="1" applyFill="1" applyBorder="1" applyAlignment="1" applyProtection="1">
      <alignment vertical="center"/>
      <protection locked="0"/>
    </xf>
    <xf numFmtId="187" fontId="8" fillId="0" borderId="133" xfId="0" applyNumberFormat="1" applyFont="1" applyFill="1" applyBorder="1" applyAlignment="1" applyProtection="1">
      <alignment vertical="center"/>
      <protection locked="0"/>
    </xf>
    <xf numFmtId="187" fontId="8" fillId="0" borderId="134" xfId="0" applyNumberFormat="1" applyFont="1" applyFill="1" applyBorder="1" applyAlignment="1" applyProtection="1">
      <alignment vertical="center"/>
      <protection locked="0"/>
    </xf>
    <xf numFmtId="181" fontId="8" fillId="0" borderId="132" xfId="0" applyNumberFormat="1" applyFont="1" applyFill="1" applyBorder="1" applyAlignment="1" applyProtection="1">
      <alignment horizontal="center" vertical="center"/>
      <protection locked="0"/>
    </xf>
    <xf numFmtId="181" fontId="8" fillId="0" borderId="134" xfId="0" applyNumberFormat="1" applyFont="1" applyFill="1" applyBorder="1" applyAlignment="1" applyProtection="1">
      <alignment horizontal="center" vertical="center"/>
      <protection locked="0"/>
    </xf>
    <xf numFmtId="179" fontId="8" fillId="27" borderId="156" xfId="0" applyNumberFormat="1" applyFont="1" applyFill="1" applyBorder="1" applyAlignment="1">
      <alignment vertical="center"/>
    </xf>
    <xf numFmtId="179" fontId="8" fillId="27" borderId="15" xfId="0" applyNumberFormat="1" applyFont="1" applyFill="1" applyBorder="1" applyAlignment="1">
      <alignment vertical="center"/>
    </xf>
    <xf numFmtId="179" fontId="8" fillId="27" borderId="25" xfId="0" applyNumberFormat="1" applyFont="1" applyFill="1" applyBorder="1" applyAlignment="1">
      <alignment vertical="center"/>
    </xf>
    <xf numFmtId="181" fontId="8" fillId="0" borderId="129" xfId="0" applyNumberFormat="1" applyFont="1" applyFill="1" applyBorder="1" applyAlignment="1" applyProtection="1">
      <alignment horizontal="center" vertical="center"/>
      <protection locked="0"/>
    </xf>
    <xf numFmtId="181" fontId="8" fillId="0" borderId="131" xfId="0" applyNumberFormat="1" applyFont="1" applyFill="1" applyBorder="1" applyAlignment="1" applyProtection="1">
      <alignment horizontal="center" vertical="center"/>
      <protection locked="0"/>
    </xf>
    <xf numFmtId="0" fontId="8" fillId="0" borderId="129" xfId="0" applyFont="1" applyFill="1" applyBorder="1" applyAlignment="1" applyProtection="1">
      <alignment vertical="center"/>
      <protection locked="0"/>
    </xf>
    <xf numFmtId="0" fontId="8" fillId="0" borderId="131" xfId="0" applyFont="1" applyFill="1" applyBorder="1" applyAlignment="1" applyProtection="1">
      <alignment vertical="center"/>
      <protection locked="0"/>
    </xf>
    <xf numFmtId="3" fontId="8" fillId="0" borderId="129" xfId="0" applyNumberFormat="1" applyFont="1" applyFill="1" applyBorder="1" applyAlignment="1" applyProtection="1">
      <alignment vertical="center"/>
      <protection locked="0"/>
    </xf>
    <xf numFmtId="3" fontId="8" fillId="0" borderId="131" xfId="0" applyNumberFormat="1" applyFont="1" applyFill="1" applyBorder="1" applyAlignment="1" applyProtection="1">
      <alignment vertical="center"/>
      <protection locked="0"/>
    </xf>
    <xf numFmtId="0" fontId="8" fillId="0" borderId="130" xfId="0" applyNumberFormat="1" applyFont="1" applyFill="1" applyBorder="1" applyAlignment="1" applyProtection="1">
      <alignment vertical="center"/>
      <protection locked="0"/>
    </xf>
    <xf numFmtId="3" fontId="8" fillId="27" borderId="68" xfId="0" applyNumberFormat="1" applyFont="1" applyFill="1" applyBorder="1" applyAlignment="1">
      <alignment vertical="center"/>
    </xf>
    <xf numFmtId="179" fontId="8" fillId="27" borderId="68" xfId="0" applyNumberFormat="1" applyFont="1" applyFill="1" applyBorder="1" applyAlignment="1">
      <alignment vertical="center"/>
    </xf>
    <xf numFmtId="0" fontId="3" fillId="2" borderId="68" xfId="0" applyFont="1" applyFill="1" applyBorder="1" applyAlignment="1">
      <alignment vertical="center"/>
    </xf>
    <xf numFmtId="187" fontId="8" fillId="0" borderId="129" xfId="0" applyNumberFormat="1" applyFont="1" applyFill="1" applyBorder="1" applyAlignment="1" applyProtection="1">
      <alignment vertical="center"/>
      <protection locked="0"/>
    </xf>
    <xf numFmtId="187" fontId="8" fillId="0" borderId="130" xfId="0" applyNumberFormat="1" applyFont="1" applyFill="1" applyBorder="1" applyAlignment="1" applyProtection="1">
      <alignment vertical="center"/>
      <protection locked="0"/>
    </xf>
    <xf numFmtId="187" fontId="8" fillId="0" borderId="131" xfId="0" applyNumberFormat="1" applyFont="1" applyFill="1" applyBorder="1" applyAlignment="1" applyProtection="1">
      <alignment vertical="center"/>
      <protection locked="0"/>
    </xf>
    <xf numFmtId="0" fontId="12" fillId="12" borderId="29" xfId="0" applyFont="1" applyFill="1" applyBorder="1" applyAlignment="1">
      <alignment vertical="center"/>
    </xf>
    <xf numFmtId="0" fontId="12" fillId="12" borderId="15" xfId="0" applyFont="1" applyFill="1" applyBorder="1" applyAlignment="1">
      <alignment vertical="center"/>
    </xf>
    <xf numFmtId="0" fontId="12" fillId="12" borderId="25" xfId="0" applyFont="1" applyFill="1" applyBorder="1" applyAlignment="1">
      <alignment vertical="center"/>
    </xf>
    <xf numFmtId="0" fontId="3" fillId="2" borderId="37" xfId="0" applyFont="1" applyFill="1" applyBorder="1" applyAlignment="1">
      <alignment vertical="center" wrapText="1"/>
    </xf>
    <xf numFmtId="0" fontId="3" fillId="2" borderId="38" xfId="0" applyFont="1" applyFill="1" applyBorder="1" applyAlignment="1">
      <alignment vertical="center" wrapText="1"/>
    </xf>
    <xf numFmtId="0" fontId="3" fillId="2" borderId="39" xfId="0" applyFont="1" applyFill="1" applyBorder="1" applyAlignment="1">
      <alignment vertical="center" wrapText="1"/>
    </xf>
    <xf numFmtId="0" fontId="3" fillId="2" borderId="5" xfId="0" applyFont="1" applyFill="1" applyBorder="1" applyAlignment="1">
      <alignment vertical="center" wrapText="1"/>
    </xf>
    <xf numFmtId="0" fontId="3" fillId="2" borderId="4" xfId="0" applyFont="1" applyFill="1" applyBorder="1" applyAlignment="1">
      <alignment vertical="center" wrapText="1"/>
    </xf>
    <xf numFmtId="0" fontId="3" fillId="2" borderId="79" xfId="0" applyFont="1" applyFill="1" applyBorder="1" applyAlignment="1">
      <alignment vertical="center" wrapText="1"/>
    </xf>
    <xf numFmtId="0" fontId="3" fillId="2" borderId="37" xfId="0" applyFont="1" applyFill="1" applyBorder="1" applyAlignment="1">
      <alignment vertical="center"/>
    </xf>
    <xf numFmtId="0" fontId="3" fillId="2" borderId="38" xfId="0" applyFont="1" applyFill="1" applyBorder="1" applyAlignment="1">
      <alignment vertical="center"/>
    </xf>
    <xf numFmtId="0" fontId="3" fillId="2" borderId="39" xfId="0" applyFont="1" applyFill="1" applyBorder="1" applyAlignment="1">
      <alignment vertical="center"/>
    </xf>
    <xf numFmtId="0" fontId="3" fillId="2" borderId="40" xfId="0" applyFont="1" applyFill="1" applyBorder="1" applyAlignment="1">
      <alignment vertical="center"/>
    </xf>
    <xf numFmtId="0" fontId="3" fillId="2" borderId="0" xfId="0" applyFont="1" applyFill="1" applyBorder="1" applyAlignment="1">
      <alignment vertical="center"/>
    </xf>
    <xf numFmtId="0" fontId="3" fillId="2" borderId="41" xfId="0" applyFont="1" applyFill="1" applyBorder="1" applyAlignment="1">
      <alignment vertical="center"/>
    </xf>
    <xf numFmtId="0" fontId="3" fillId="2" borderId="40" xfId="0" applyFont="1" applyFill="1" applyBorder="1" applyAlignment="1">
      <alignment vertical="center" wrapText="1"/>
    </xf>
    <xf numFmtId="0" fontId="3" fillId="2" borderId="41" xfId="0" applyFont="1" applyFill="1" applyBorder="1" applyAlignment="1">
      <alignment vertical="center" wrapText="1"/>
    </xf>
    <xf numFmtId="0" fontId="3" fillId="2" borderId="0" xfId="0" applyFont="1" applyFill="1" applyBorder="1" applyAlignment="1">
      <alignment vertical="center" wrapText="1"/>
    </xf>
    <xf numFmtId="179" fontId="8" fillId="27" borderId="29" xfId="0" applyNumberFormat="1" applyFont="1" applyFill="1" applyBorder="1" applyAlignment="1">
      <alignment vertical="center"/>
    </xf>
    <xf numFmtId="0" fontId="12" fillId="0" borderId="129" xfId="0" applyNumberFormat="1" applyFont="1" applyFill="1" applyBorder="1" applyAlignment="1" applyProtection="1">
      <alignment horizontal="center" vertical="center"/>
      <protection locked="0"/>
    </xf>
    <xf numFmtId="0" fontId="12" fillId="0" borderId="131" xfId="0" applyNumberFormat="1" applyFont="1" applyFill="1" applyBorder="1" applyAlignment="1" applyProtection="1">
      <alignment horizontal="center" vertical="center"/>
      <protection locked="0"/>
    </xf>
    <xf numFmtId="0" fontId="0" fillId="20" borderId="14" xfId="0" applyFill="1" applyBorder="1" applyAlignment="1">
      <alignment horizontal="left" vertical="center"/>
    </xf>
    <xf numFmtId="0" fontId="0" fillId="20" borderId="15" xfId="0" applyFill="1" applyBorder="1" applyAlignment="1">
      <alignment horizontal="left" vertical="center"/>
    </xf>
    <xf numFmtId="0" fontId="12" fillId="2" borderId="29" xfId="0" applyFont="1" applyFill="1" applyBorder="1" applyAlignment="1">
      <alignment horizontal="left" vertical="center"/>
    </xf>
    <xf numFmtId="0" fontId="12" fillId="2" borderId="15" xfId="0" applyFont="1" applyFill="1" applyBorder="1" applyAlignment="1">
      <alignment horizontal="left" vertical="center"/>
    </xf>
    <xf numFmtId="0" fontId="12" fillId="2" borderId="25" xfId="0" applyFont="1" applyFill="1" applyBorder="1" applyAlignment="1">
      <alignment horizontal="left" vertical="center"/>
    </xf>
    <xf numFmtId="9" fontId="27" fillId="4" borderId="39" xfId="0" applyNumberFormat="1" applyFont="1" applyFill="1" applyBorder="1" applyAlignment="1">
      <alignment vertical="top" wrapText="1"/>
    </xf>
    <xf numFmtId="9" fontId="27" fillId="4" borderId="79" xfId="0" applyNumberFormat="1" applyFont="1" applyFill="1" applyBorder="1" applyAlignment="1">
      <alignment vertical="top" wrapText="1"/>
    </xf>
    <xf numFmtId="9" fontId="27" fillId="4" borderId="79" xfId="0" applyNumberFormat="1" applyFont="1" applyFill="1" applyBorder="1" applyAlignment="1">
      <alignment vertical="top"/>
    </xf>
    <xf numFmtId="184" fontId="0" fillId="0" borderId="68" xfId="0" applyNumberFormat="1" applyBorder="1" applyAlignment="1" applyProtection="1">
      <alignment horizontal="center" vertical="top"/>
      <protection locked="0"/>
    </xf>
    <xf numFmtId="184" fontId="0" fillId="0" borderId="76" xfId="0" applyNumberFormat="1" applyBorder="1" applyAlignment="1" applyProtection="1">
      <alignment horizontal="center" vertical="top"/>
      <protection locked="0"/>
    </xf>
    <xf numFmtId="183" fontId="0" fillId="0" borderId="68" xfId="0" applyNumberFormat="1" applyBorder="1" applyAlignment="1" applyProtection="1">
      <alignment horizontal="center" vertical="top"/>
      <protection locked="0"/>
    </xf>
    <xf numFmtId="183" fontId="0" fillId="0" borderId="29" xfId="0" applyNumberFormat="1" applyBorder="1" applyAlignment="1" applyProtection="1">
      <alignment horizontal="center" vertical="top"/>
      <protection locked="0"/>
    </xf>
    <xf numFmtId="183" fontId="0" fillId="0" borderId="15" xfId="0" applyNumberFormat="1" applyBorder="1" applyAlignment="1" applyProtection="1">
      <alignment horizontal="center" vertical="top"/>
      <protection locked="0"/>
    </xf>
    <xf numFmtId="183" fontId="0" fillId="0" borderId="25" xfId="0" applyNumberFormat="1" applyBorder="1" applyAlignment="1" applyProtection="1">
      <alignment horizontal="center" vertical="top"/>
      <protection locked="0"/>
    </xf>
    <xf numFmtId="184" fontId="0" fillId="0" borderId="29" xfId="0" applyNumberFormat="1" applyBorder="1" applyAlignment="1" applyProtection="1">
      <alignment horizontal="center" vertical="top"/>
      <protection locked="0"/>
    </xf>
    <xf numFmtId="184" fontId="0" fillId="0" borderId="15" xfId="0" applyNumberFormat="1" applyBorder="1" applyAlignment="1" applyProtection="1">
      <alignment horizontal="center" vertical="top"/>
      <protection locked="0"/>
    </xf>
    <xf numFmtId="184" fontId="0" fillId="0" borderId="25" xfId="0" applyNumberFormat="1" applyBorder="1" applyAlignment="1" applyProtection="1">
      <alignment horizontal="center" vertical="top"/>
      <protection locked="0"/>
    </xf>
    <xf numFmtId="237" fontId="33" fillId="0" borderId="94" xfId="0" applyNumberFormat="1" applyFont="1" applyBorder="1" applyAlignment="1">
      <alignment horizontal="right" vertical="center"/>
    </xf>
    <xf numFmtId="237" fontId="33" fillId="0" borderId="54" xfId="0" applyNumberFormat="1" applyFont="1" applyBorder="1" applyAlignment="1">
      <alignment horizontal="right" vertical="center"/>
    </xf>
    <xf numFmtId="237" fontId="33" fillId="0" borderId="55" xfId="0" applyNumberFormat="1" applyFont="1" applyBorder="1" applyAlignment="1">
      <alignment horizontal="right" vertical="center"/>
    </xf>
    <xf numFmtId="237" fontId="33" fillId="0" borderId="13" xfId="0" applyNumberFormat="1" applyFont="1" applyBorder="1" applyAlignment="1">
      <alignment horizontal="right" vertical="center"/>
    </xf>
    <xf numFmtId="237" fontId="33" fillId="0" borderId="7" xfId="0" applyNumberFormat="1" applyFont="1" applyBorder="1" applyAlignment="1">
      <alignment horizontal="right" vertical="center"/>
    </xf>
    <xf numFmtId="237" fontId="33" fillId="0" borderId="9" xfId="0" applyNumberFormat="1" applyFont="1" applyBorder="1" applyAlignment="1">
      <alignment horizontal="right" vertical="center"/>
    </xf>
    <xf numFmtId="237" fontId="33" fillId="0" borderId="203" xfId="0" applyNumberFormat="1" applyFont="1" applyBorder="1" applyAlignment="1">
      <alignment horizontal="right" vertical="center"/>
    </xf>
    <xf numFmtId="237" fontId="33" fillId="0" borderId="101" xfId="0" applyNumberFormat="1" applyFont="1" applyBorder="1" applyAlignment="1">
      <alignment horizontal="right" vertical="center"/>
    </xf>
    <xf numFmtId="237" fontId="33" fillId="0" borderId="193" xfId="0" applyNumberFormat="1" applyFont="1" applyBorder="1" applyAlignment="1">
      <alignment horizontal="right" vertical="center"/>
    </xf>
    <xf numFmtId="237" fontId="33" fillId="0" borderId="205" xfId="0" applyNumberFormat="1" applyFont="1" applyBorder="1" applyAlignment="1">
      <alignment horizontal="right" vertical="center"/>
    </xf>
    <xf numFmtId="237" fontId="33" fillId="0" borderId="99" xfId="0" applyNumberFormat="1" applyFont="1" applyBorder="1" applyAlignment="1">
      <alignment horizontal="right" vertical="center"/>
    </xf>
    <xf numFmtId="237" fontId="33" fillId="0" borderId="192" xfId="0" applyNumberFormat="1" applyFont="1" applyBorder="1" applyAlignment="1">
      <alignment horizontal="right" vertical="center"/>
    </xf>
    <xf numFmtId="237" fontId="33" fillId="0" borderId="56" xfId="0" applyNumberFormat="1" applyFont="1" applyBorder="1" applyAlignment="1">
      <alignment horizontal="right" vertical="center"/>
    </xf>
    <xf numFmtId="237" fontId="33" fillId="0" borderId="0" xfId="0" applyNumberFormat="1" applyFont="1" applyBorder="1" applyAlignment="1">
      <alignment horizontal="right" vertical="center"/>
    </xf>
    <xf numFmtId="237" fontId="33" fillId="0" borderId="57" xfId="0" applyNumberFormat="1" applyFont="1" applyBorder="1" applyAlignment="1">
      <alignment horizontal="right" vertical="center"/>
    </xf>
    <xf numFmtId="179" fontId="33" fillId="0" borderId="171" xfId="0" applyNumberFormat="1" applyFont="1" applyBorder="1" applyAlignment="1">
      <alignment vertical="center"/>
    </xf>
    <xf numFmtId="179" fontId="33" fillId="0" borderId="172" xfId="0" applyNumberFormat="1" applyFont="1" applyBorder="1" applyAlignment="1">
      <alignment vertical="center"/>
    </xf>
    <xf numFmtId="179" fontId="33" fillId="0" borderId="173" xfId="0" applyNumberFormat="1" applyFont="1" applyBorder="1" applyAlignment="1">
      <alignment vertical="center"/>
    </xf>
    <xf numFmtId="179" fontId="17" fillId="0" borderId="94" xfId="0" applyNumberFormat="1" applyFont="1" applyBorder="1" applyAlignment="1">
      <alignment vertical="center"/>
    </xf>
    <xf numFmtId="179" fontId="17" fillId="0" borderId="54" xfId="0" applyNumberFormat="1" applyFont="1" applyBorder="1" applyAlignment="1">
      <alignment vertical="center"/>
    </xf>
    <xf numFmtId="179" fontId="17" fillId="0" borderId="55" xfId="0" applyNumberFormat="1" applyFont="1" applyBorder="1" applyAlignment="1">
      <alignment vertical="center"/>
    </xf>
    <xf numFmtId="179" fontId="17" fillId="0" borderId="13" xfId="0" applyNumberFormat="1" applyFont="1" applyBorder="1" applyAlignment="1">
      <alignment vertical="center"/>
    </xf>
    <xf numFmtId="179" fontId="17" fillId="0" borderId="7" xfId="0" applyNumberFormat="1" applyFont="1" applyBorder="1" applyAlignment="1">
      <alignment vertical="center"/>
    </xf>
    <xf numFmtId="179" fontId="17" fillId="0" borderId="9" xfId="0" applyNumberFormat="1" applyFont="1" applyBorder="1" applyAlignment="1">
      <alignment vertical="center"/>
    </xf>
    <xf numFmtId="179" fontId="33" fillId="0" borderId="174" xfId="0" applyNumberFormat="1" applyFont="1" applyBorder="1" applyAlignment="1">
      <alignment vertical="center"/>
    </xf>
    <xf numFmtId="179" fontId="33" fillId="0" borderId="85" xfId="0" applyNumberFormat="1" applyFont="1" applyBorder="1" applyAlignment="1">
      <alignment vertical="center"/>
    </xf>
    <xf numFmtId="179" fontId="33" fillId="0" borderId="86" xfId="0" applyNumberFormat="1" applyFont="1" applyBorder="1" applyAlignment="1">
      <alignment vertical="center"/>
    </xf>
    <xf numFmtId="0" fontId="0" fillId="0" borderId="174" xfId="0" applyBorder="1" applyAlignment="1">
      <alignment horizontal="right" vertical="center"/>
    </xf>
    <xf numFmtId="0" fontId="0" fillId="0" borderId="85" xfId="0" applyBorder="1" applyAlignment="1">
      <alignment horizontal="right" vertical="center"/>
    </xf>
    <xf numFmtId="0" fontId="0" fillId="0" borderId="86" xfId="0" applyBorder="1" applyAlignment="1">
      <alignment horizontal="right" vertical="center"/>
    </xf>
    <xf numFmtId="194" fontId="34" fillId="0" borderId="175" xfId="0" applyNumberFormat="1" applyFont="1" applyBorder="1" applyAlignment="1">
      <alignment horizontal="right" vertical="center"/>
    </xf>
    <xf numFmtId="194" fontId="34" fillId="0" borderId="114" xfId="0" applyNumberFormat="1" applyFont="1" applyBorder="1" applyAlignment="1">
      <alignment horizontal="right" vertical="center"/>
    </xf>
    <xf numFmtId="194" fontId="34" fillId="0" borderId="115" xfId="0" applyNumberFormat="1" applyFont="1" applyBorder="1" applyAlignment="1">
      <alignment horizontal="right" vertical="center"/>
    </xf>
    <xf numFmtId="194" fontId="34" fillId="0" borderId="178" xfId="0" applyNumberFormat="1" applyFont="1" applyBorder="1" applyAlignment="1">
      <alignment horizontal="right" vertical="center"/>
    </xf>
    <xf numFmtId="194" fontId="34" fillId="0" borderId="120" xfId="0" applyNumberFormat="1" applyFont="1" applyBorder="1" applyAlignment="1">
      <alignment horizontal="right" vertical="center"/>
    </xf>
    <xf numFmtId="194" fontId="34" fillId="0" borderId="121" xfId="0" applyNumberFormat="1" applyFont="1" applyBorder="1" applyAlignment="1">
      <alignment horizontal="right" vertical="center"/>
    </xf>
    <xf numFmtId="0" fontId="27" fillId="13" borderId="94" xfId="0" applyFont="1" applyFill="1" applyBorder="1" applyAlignment="1">
      <alignment horizontal="center" vertical="center" wrapText="1"/>
    </xf>
    <xf numFmtId="0" fontId="27" fillId="13" borderId="54" xfId="0" applyFont="1" applyFill="1" applyBorder="1" applyAlignment="1">
      <alignment horizontal="center" vertical="center" wrapText="1"/>
    </xf>
    <xf numFmtId="0" fontId="27" fillId="13" borderId="55" xfId="0" applyFont="1" applyFill="1" applyBorder="1" applyAlignment="1">
      <alignment horizontal="center" vertical="center" wrapText="1"/>
    </xf>
    <xf numFmtId="0" fontId="27" fillId="13" borderId="13" xfId="0" applyFont="1" applyFill="1" applyBorder="1" applyAlignment="1">
      <alignment horizontal="center" vertical="center" wrapText="1"/>
    </xf>
    <xf numFmtId="0" fontId="27" fillId="13" borderId="7" xfId="0" applyFont="1" applyFill="1" applyBorder="1" applyAlignment="1">
      <alignment horizontal="center" vertical="center" wrapText="1"/>
    </xf>
    <xf numFmtId="0" fontId="27" fillId="13" borderId="9" xfId="0" applyFont="1" applyFill="1" applyBorder="1" applyAlignment="1">
      <alignment horizontal="center" vertical="center" wrapText="1"/>
    </xf>
    <xf numFmtId="189" fontId="33" fillId="0" borderId="175" xfId="2" applyNumberFormat="1" applyFont="1" applyBorder="1" applyAlignment="1">
      <alignment horizontal="right" vertical="center"/>
    </xf>
    <xf numFmtId="189" fontId="33" fillId="0" borderId="114" xfId="2" applyNumberFormat="1" applyFont="1" applyBorder="1" applyAlignment="1">
      <alignment horizontal="right" vertical="center"/>
    </xf>
    <xf numFmtId="189" fontId="33" fillId="0" borderId="115" xfId="2" applyNumberFormat="1" applyFont="1" applyBorder="1" applyAlignment="1">
      <alignment horizontal="right" vertical="center"/>
    </xf>
    <xf numFmtId="0" fontId="27" fillId="14" borderId="187" xfId="0" applyFont="1" applyFill="1" applyBorder="1" applyAlignment="1">
      <alignment horizontal="center" vertical="center" wrapText="1"/>
    </xf>
    <xf numFmtId="0" fontId="27" fillId="14" borderId="188" xfId="0" applyFont="1" applyFill="1" applyBorder="1" applyAlignment="1">
      <alignment horizontal="center" vertical="center" wrapText="1"/>
    </xf>
    <xf numFmtId="0" fontId="27" fillId="14" borderId="187" xfId="0" applyFont="1" applyFill="1" applyBorder="1" applyAlignment="1">
      <alignment horizontal="center" vertical="center"/>
    </xf>
    <xf numFmtId="0" fontId="27" fillId="14" borderId="188" xfId="0" applyFont="1" applyFill="1" applyBorder="1" applyAlignment="1">
      <alignment horizontal="center" vertical="center"/>
    </xf>
    <xf numFmtId="194" fontId="45" fillId="0" borderId="175" xfId="0" applyNumberFormat="1" applyFont="1" applyBorder="1" applyAlignment="1">
      <alignment horizontal="right" vertical="center"/>
    </xf>
    <xf numFmtId="194" fontId="45" fillId="0" borderId="114" xfId="0" applyNumberFormat="1" applyFont="1" applyBorder="1" applyAlignment="1">
      <alignment horizontal="right" vertical="center"/>
    </xf>
    <xf numFmtId="194" fontId="45" fillId="0" borderId="115" xfId="0" applyNumberFormat="1" applyFont="1" applyBorder="1" applyAlignment="1">
      <alignment horizontal="right" vertical="center"/>
    </xf>
    <xf numFmtId="194" fontId="45" fillId="0" borderId="178" xfId="0" applyNumberFormat="1" applyFont="1" applyBorder="1" applyAlignment="1">
      <alignment horizontal="right" vertical="center"/>
    </xf>
    <xf numFmtId="194" fontId="45" fillId="0" borderId="120" xfId="0" applyNumberFormat="1" applyFont="1" applyBorder="1" applyAlignment="1">
      <alignment horizontal="right" vertical="center"/>
    </xf>
    <xf numFmtId="194" fontId="45" fillId="0" borderId="121" xfId="0" applyNumberFormat="1" applyFont="1" applyBorder="1" applyAlignment="1">
      <alignment horizontal="right" vertical="center"/>
    </xf>
    <xf numFmtId="194" fontId="33" fillId="0" borderId="178" xfId="0" applyNumberFormat="1" applyFont="1" applyBorder="1" applyAlignment="1">
      <alignment horizontal="right" vertical="center"/>
    </xf>
    <xf numFmtId="194" fontId="33" fillId="0" borderId="120" xfId="0" applyNumberFormat="1" applyFont="1" applyBorder="1" applyAlignment="1">
      <alignment horizontal="right" vertical="center"/>
    </xf>
    <xf numFmtId="194" fontId="33" fillId="0" borderId="121" xfId="0" applyNumberFormat="1" applyFont="1" applyBorder="1" applyAlignment="1">
      <alignment horizontal="right" vertical="center"/>
    </xf>
    <xf numFmtId="194" fontId="33" fillId="0" borderId="174" xfId="2" applyNumberFormat="1" applyFont="1" applyBorder="1" applyAlignment="1">
      <alignment horizontal="right" vertical="center"/>
    </xf>
    <xf numFmtId="194" fontId="33" fillId="0" borderId="85" xfId="2" applyNumberFormat="1" applyFont="1" applyBorder="1" applyAlignment="1">
      <alignment horizontal="right" vertical="center"/>
    </xf>
    <xf numFmtId="194" fontId="33" fillId="0" borderId="86" xfId="2" applyNumberFormat="1" applyFont="1" applyBorder="1" applyAlignment="1">
      <alignment horizontal="right" vertical="center"/>
    </xf>
    <xf numFmtId="189" fontId="33" fillId="0" borderId="174" xfId="2" applyNumberFormat="1" applyFont="1" applyBorder="1" applyAlignment="1">
      <alignment horizontal="right" vertical="center"/>
    </xf>
    <xf numFmtId="189" fontId="33" fillId="0" borderId="85" xfId="2" applyNumberFormat="1" applyFont="1" applyBorder="1" applyAlignment="1">
      <alignment horizontal="right" vertical="center"/>
    </xf>
    <xf numFmtId="189" fontId="33" fillId="0" borderId="86" xfId="2" applyNumberFormat="1" applyFont="1" applyBorder="1" applyAlignment="1">
      <alignment horizontal="right" vertical="center"/>
    </xf>
    <xf numFmtId="194" fontId="33" fillId="0" borderId="171" xfId="2" applyNumberFormat="1" applyFont="1" applyBorder="1" applyAlignment="1">
      <alignment horizontal="right" vertical="center"/>
    </xf>
    <xf numFmtId="194" fontId="33" fillId="0" borderId="172" xfId="2" applyNumberFormat="1" applyFont="1" applyBorder="1" applyAlignment="1">
      <alignment horizontal="right" vertical="center"/>
    </xf>
    <xf numFmtId="194" fontId="33" fillId="0" borderId="173" xfId="2" applyNumberFormat="1" applyFont="1" applyBorder="1" applyAlignment="1">
      <alignment horizontal="right" vertical="center"/>
    </xf>
    <xf numFmtId="194" fontId="33" fillId="0" borderId="182" xfId="0" applyNumberFormat="1" applyFont="1" applyBorder="1" applyAlignment="1">
      <alignment horizontal="right" vertical="center"/>
    </xf>
    <xf numFmtId="194" fontId="33" fillId="0" borderId="91" xfId="0" applyNumberFormat="1" applyFont="1" applyBorder="1" applyAlignment="1">
      <alignment horizontal="right" vertical="center"/>
    </xf>
    <xf numFmtId="194" fontId="33" fillId="0" borderId="92" xfId="0" applyNumberFormat="1" applyFont="1" applyBorder="1" applyAlignment="1">
      <alignment horizontal="right" vertical="center"/>
    </xf>
    <xf numFmtId="0" fontId="0" fillId="0" borderId="182" xfId="0" applyBorder="1" applyAlignment="1">
      <alignment horizontal="right" vertical="center"/>
    </xf>
    <xf numFmtId="0" fontId="0" fillId="0" borderId="91" xfId="0" applyBorder="1" applyAlignment="1">
      <alignment horizontal="right" vertical="center"/>
    </xf>
    <xf numFmtId="0" fontId="0" fillId="0" borderId="92" xfId="0" applyBorder="1" applyAlignment="1">
      <alignment horizontal="right" vertical="center"/>
    </xf>
    <xf numFmtId="0" fontId="27" fillId="10" borderId="205" xfId="0" applyFont="1" applyFill="1" applyBorder="1" applyAlignment="1">
      <alignment vertical="center"/>
    </xf>
    <xf numFmtId="0" fontId="27" fillId="10" borderId="99" xfId="0" applyFont="1" applyFill="1" applyBorder="1" applyAlignment="1">
      <alignment vertical="center"/>
    </xf>
    <xf numFmtId="0" fontId="27" fillId="10" borderId="203" xfId="0" applyFont="1" applyFill="1" applyBorder="1" applyAlignment="1">
      <alignment vertical="center"/>
    </xf>
    <xf numFmtId="0" fontId="27" fillId="10" borderId="101" xfId="0" applyFont="1" applyFill="1" applyBorder="1" applyAlignment="1">
      <alignment vertical="center"/>
    </xf>
    <xf numFmtId="0" fontId="0" fillId="0" borderId="174" xfId="0" applyBorder="1" applyAlignment="1">
      <alignment horizontal="center" vertical="center"/>
    </xf>
    <xf numFmtId="0" fontId="0" fillId="0" borderId="85" xfId="0" applyBorder="1" applyAlignment="1">
      <alignment horizontal="center" vertical="center"/>
    </xf>
    <xf numFmtId="0" fontId="0" fillId="0" borderId="86" xfId="0" applyBorder="1" applyAlignment="1">
      <alignment horizontal="center" vertical="center"/>
    </xf>
    <xf numFmtId="0" fontId="0" fillId="0" borderId="171" xfId="0" applyBorder="1" applyAlignment="1">
      <alignment horizontal="center" vertical="center"/>
    </xf>
    <xf numFmtId="0" fontId="0" fillId="0" borderId="172" xfId="0" applyBorder="1" applyAlignment="1">
      <alignment horizontal="center" vertical="center"/>
    </xf>
    <xf numFmtId="0" fontId="0" fillId="0" borderId="173" xfId="0" applyBorder="1" applyAlignment="1">
      <alignment horizontal="center" vertical="center"/>
    </xf>
    <xf numFmtId="194" fontId="45" fillId="0" borderId="113" xfId="0" applyNumberFormat="1" applyFont="1" applyBorder="1" applyAlignment="1">
      <alignment horizontal="right" vertical="center"/>
    </xf>
    <xf numFmtId="194" fontId="45" fillId="0" borderId="119" xfId="0" applyNumberFormat="1" applyFont="1" applyBorder="1" applyAlignment="1">
      <alignment horizontal="right" vertical="center"/>
    </xf>
    <xf numFmtId="0" fontId="27" fillId="13" borderId="94" xfId="0" applyFont="1" applyFill="1" applyBorder="1" applyAlignment="1">
      <alignment horizontal="center" vertical="center"/>
    </xf>
    <xf numFmtId="0" fontId="27" fillId="13" borderId="54" xfId="0" applyFont="1" applyFill="1" applyBorder="1" applyAlignment="1">
      <alignment horizontal="center" vertical="center"/>
    </xf>
    <xf numFmtId="0" fontId="27" fillId="13" borderId="55" xfId="0" applyFont="1" applyFill="1" applyBorder="1" applyAlignment="1">
      <alignment horizontal="center" vertical="center"/>
    </xf>
    <xf numFmtId="0" fontId="27" fillId="13" borderId="13" xfId="0" applyFont="1" applyFill="1" applyBorder="1" applyAlignment="1">
      <alignment horizontal="center" vertical="center"/>
    </xf>
    <xf numFmtId="0" fontId="27" fillId="13" borderId="7" xfId="0" applyFont="1" applyFill="1" applyBorder="1" applyAlignment="1">
      <alignment horizontal="center" vertical="center"/>
    </xf>
    <xf numFmtId="0" fontId="27" fillId="13" borderId="9" xfId="0" applyFont="1" applyFill="1" applyBorder="1" applyAlignment="1">
      <alignment horizontal="center" vertical="center"/>
    </xf>
    <xf numFmtId="194" fontId="33" fillId="0" borderId="171" xfId="0" applyNumberFormat="1" applyFont="1" applyBorder="1" applyAlignment="1">
      <alignment horizontal="right" vertical="center"/>
    </xf>
    <xf numFmtId="194" fontId="33" fillId="0" borderId="172" xfId="0" applyNumberFormat="1" applyFont="1" applyBorder="1" applyAlignment="1">
      <alignment horizontal="right" vertical="center"/>
    </xf>
    <xf numFmtId="194" fontId="33" fillId="0" borderId="173" xfId="0" applyNumberFormat="1" applyFont="1" applyBorder="1" applyAlignment="1">
      <alignment horizontal="right" vertical="center"/>
    </xf>
    <xf numFmtId="0" fontId="45" fillId="0" borderId="174" xfId="0" applyFont="1" applyBorder="1" applyAlignment="1">
      <alignment horizontal="right" vertical="center"/>
    </xf>
    <xf numFmtId="0" fontId="45" fillId="0" borderId="85" xfId="0" applyFont="1" applyBorder="1" applyAlignment="1">
      <alignment horizontal="right" vertical="center"/>
    </xf>
    <xf numFmtId="0" fontId="45" fillId="0" borderId="86" xfId="0" applyFont="1" applyBorder="1" applyAlignment="1">
      <alignment horizontal="right" vertical="center"/>
    </xf>
    <xf numFmtId="0" fontId="45" fillId="0" borderId="182" xfId="0" applyFont="1" applyBorder="1" applyAlignment="1">
      <alignment horizontal="right" vertical="center"/>
    </xf>
    <xf numFmtId="0" fontId="45" fillId="0" borderId="91" xfId="0" applyFont="1" applyBorder="1" applyAlignment="1">
      <alignment horizontal="right" vertical="center"/>
    </xf>
    <xf numFmtId="0" fontId="45" fillId="0" borderId="92" xfId="0" applyFont="1" applyBorder="1" applyAlignment="1">
      <alignment horizontal="right" vertical="center"/>
    </xf>
    <xf numFmtId="0" fontId="19" fillId="0" borderId="94" xfId="0" applyFont="1" applyFill="1" applyBorder="1" applyAlignment="1">
      <alignment vertical="center"/>
    </xf>
    <xf numFmtId="0" fontId="19" fillId="0" borderId="55" xfId="0" applyFont="1" applyFill="1" applyBorder="1" applyAlignment="1">
      <alignment vertical="center"/>
    </xf>
    <xf numFmtId="0" fontId="19" fillId="0" borderId="13" xfId="0" applyFont="1" applyFill="1" applyBorder="1" applyAlignment="1">
      <alignment vertical="center"/>
    </xf>
    <xf numFmtId="0" fontId="19" fillId="0" borderId="9" xfId="0" applyFont="1" applyFill="1" applyBorder="1" applyAlignment="1">
      <alignment vertical="center"/>
    </xf>
    <xf numFmtId="194" fontId="33" fillId="0" borderId="179" xfId="0" applyNumberFormat="1" applyFont="1" applyBorder="1" applyAlignment="1">
      <alignment horizontal="right" vertical="center"/>
    </xf>
    <xf numFmtId="194" fontId="33" fillId="0" borderId="117" xfId="0" applyNumberFormat="1" applyFont="1" applyBorder="1" applyAlignment="1">
      <alignment horizontal="right" vertical="center"/>
    </xf>
    <xf numFmtId="194" fontId="33" fillId="0" borderId="118" xfId="0" applyNumberFormat="1" applyFont="1" applyBorder="1" applyAlignment="1">
      <alignment horizontal="right" vertical="center"/>
    </xf>
    <xf numFmtId="189" fontId="33" fillId="0" borderId="171" xfId="2" applyNumberFormat="1" applyFont="1" applyBorder="1" applyAlignment="1">
      <alignment horizontal="right" vertical="center"/>
    </xf>
    <xf numFmtId="189" fontId="33" fillId="0" borderId="172" xfId="2" applyNumberFormat="1" applyFont="1" applyBorder="1" applyAlignment="1">
      <alignment horizontal="right" vertical="center"/>
    </xf>
    <xf numFmtId="189" fontId="33" fillId="0" borderId="173" xfId="2" applyNumberFormat="1" applyFont="1" applyBorder="1" applyAlignment="1">
      <alignment horizontal="right" vertical="center"/>
    </xf>
    <xf numFmtId="194" fontId="33" fillId="0" borderId="203" xfId="2" applyNumberFormat="1" applyFont="1" applyBorder="1" applyAlignment="1">
      <alignment horizontal="right" vertical="center"/>
    </xf>
    <xf numFmtId="194" fontId="33" fillId="0" borderId="101" xfId="2" applyNumberFormat="1" applyFont="1" applyBorder="1" applyAlignment="1">
      <alignment horizontal="right" vertical="center"/>
    </xf>
    <xf numFmtId="194" fontId="33" fillId="0" borderId="193" xfId="2" applyNumberFormat="1" applyFont="1" applyBorder="1" applyAlignment="1">
      <alignment horizontal="right" vertical="center"/>
    </xf>
    <xf numFmtId="189" fontId="33" fillId="0" borderId="204" xfId="2" applyNumberFormat="1" applyFont="1" applyBorder="1" applyAlignment="1">
      <alignment horizontal="right" vertical="center"/>
    </xf>
    <xf numFmtId="189" fontId="33" fillId="0" borderId="190" xfId="2" applyNumberFormat="1" applyFont="1" applyBorder="1" applyAlignment="1">
      <alignment horizontal="right" vertical="center"/>
    </xf>
    <xf numFmtId="189" fontId="33" fillId="0" borderId="191" xfId="2" applyNumberFormat="1" applyFont="1" applyBorder="1" applyAlignment="1">
      <alignment horizontal="right" vertical="center"/>
    </xf>
    <xf numFmtId="189" fontId="33" fillId="0" borderId="179" xfId="2" applyNumberFormat="1" applyFont="1" applyBorder="1" applyAlignment="1">
      <alignment horizontal="right" vertical="center"/>
    </xf>
    <xf numFmtId="189" fontId="33" fillId="0" borderId="117" xfId="2" applyNumberFormat="1" applyFont="1" applyBorder="1" applyAlignment="1">
      <alignment horizontal="right" vertical="center"/>
    </xf>
    <xf numFmtId="189" fontId="33" fillId="0" borderId="118" xfId="2" applyNumberFormat="1" applyFont="1" applyBorder="1" applyAlignment="1">
      <alignment horizontal="right" vertical="center"/>
    </xf>
    <xf numFmtId="0" fontId="4" fillId="0" borderId="179" xfId="0" applyFont="1" applyBorder="1" applyAlignment="1">
      <alignment horizontal="center" vertical="center"/>
    </xf>
    <xf numFmtId="0" fontId="4" fillId="0" borderId="117" xfId="0" applyFont="1" applyBorder="1" applyAlignment="1">
      <alignment horizontal="center" vertical="center"/>
    </xf>
    <xf numFmtId="0" fontId="4" fillId="0" borderId="118" xfId="0" applyFont="1" applyBorder="1" applyAlignment="1">
      <alignment horizontal="center" vertical="center"/>
    </xf>
    <xf numFmtId="0" fontId="4" fillId="0" borderId="178" xfId="0" applyFont="1" applyBorder="1" applyAlignment="1">
      <alignment horizontal="center" vertical="center"/>
    </xf>
    <xf numFmtId="0" fontId="4" fillId="0" borderId="120" xfId="0" applyFont="1" applyBorder="1" applyAlignment="1">
      <alignment horizontal="center" vertical="center"/>
    </xf>
    <xf numFmtId="0" fontId="4" fillId="0" borderId="121" xfId="0" applyFont="1" applyBorder="1" applyAlignment="1">
      <alignment horizontal="center" vertical="center"/>
    </xf>
    <xf numFmtId="187" fontId="33" fillId="0" borderId="179" xfId="0" applyNumberFormat="1" applyFont="1" applyBorder="1" applyAlignment="1">
      <alignment horizontal="right" vertical="center"/>
    </xf>
    <xf numFmtId="187" fontId="33" fillId="0" borderId="117" xfId="0" applyNumberFormat="1" applyFont="1" applyBorder="1" applyAlignment="1">
      <alignment horizontal="right" vertical="center"/>
    </xf>
    <xf numFmtId="187" fontId="33" fillId="0" borderId="181" xfId="0" applyNumberFormat="1" applyFont="1" applyBorder="1" applyAlignment="1">
      <alignment horizontal="right" vertical="center"/>
    </xf>
    <xf numFmtId="187" fontId="33" fillId="0" borderId="178" xfId="0" applyNumberFormat="1" applyFont="1" applyBorder="1" applyAlignment="1">
      <alignment horizontal="right" vertical="center"/>
    </xf>
    <xf numFmtId="187" fontId="33" fillId="0" borderId="120" xfId="0" applyNumberFormat="1" applyFont="1" applyBorder="1" applyAlignment="1">
      <alignment horizontal="right" vertical="center"/>
    </xf>
    <xf numFmtId="187" fontId="33" fillId="0" borderId="183" xfId="0" applyNumberFormat="1" applyFont="1" applyBorder="1" applyAlignment="1">
      <alignment horizontal="right" vertical="center"/>
    </xf>
    <xf numFmtId="189" fontId="33" fillId="0" borderId="113" xfId="2" applyNumberFormat="1" applyFont="1" applyBorder="1" applyAlignment="1">
      <alignment horizontal="right" vertical="center"/>
    </xf>
    <xf numFmtId="230" fontId="33" fillId="0" borderId="182" xfId="0" applyNumberFormat="1" applyFont="1" applyBorder="1" applyAlignment="1">
      <alignment horizontal="right" vertical="center"/>
    </xf>
    <xf numFmtId="230" fontId="33" fillId="0" borderId="91" xfId="0" applyNumberFormat="1" applyFont="1" applyBorder="1" applyAlignment="1">
      <alignment horizontal="right" vertical="center"/>
    </xf>
    <xf numFmtId="230" fontId="33" fillId="0" borderId="119" xfId="0" applyNumberFormat="1" applyFont="1" applyBorder="1" applyAlignment="1">
      <alignment horizontal="right" vertical="center"/>
    </xf>
    <xf numFmtId="231" fontId="33" fillId="0" borderId="174" xfId="0" applyNumberFormat="1" applyFont="1" applyBorder="1" applyAlignment="1">
      <alignment horizontal="right" vertical="center"/>
    </xf>
    <xf numFmtId="231" fontId="33" fillId="0" borderId="85" xfId="0" applyNumberFormat="1" applyFont="1" applyBorder="1" applyAlignment="1">
      <alignment horizontal="right" vertical="center"/>
    </xf>
    <xf numFmtId="231" fontId="33" fillId="0" borderId="113" xfId="0" applyNumberFormat="1" applyFont="1" applyBorder="1" applyAlignment="1">
      <alignment horizontal="right" vertical="center"/>
    </xf>
    <xf numFmtId="231" fontId="33" fillId="0" borderId="86" xfId="0" applyNumberFormat="1" applyFont="1" applyBorder="1" applyAlignment="1">
      <alignment horizontal="right" vertical="center"/>
    </xf>
    <xf numFmtId="230" fontId="33" fillId="0" borderId="87" xfId="0" applyNumberFormat="1" applyFont="1" applyBorder="1" applyAlignment="1">
      <alignment horizontal="right" vertical="center"/>
    </xf>
    <xf numFmtId="230" fontId="33" fillId="0" borderId="88" xfId="0" applyNumberFormat="1" applyFont="1" applyBorder="1" applyAlignment="1">
      <alignment horizontal="right" vertical="center"/>
    </xf>
    <xf numFmtId="231" fontId="33" fillId="0" borderId="89" xfId="0" applyNumberFormat="1" applyFont="1" applyBorder="1" applyAlignment="1">
      <alignment horizontal="right" vertical="center"/>
    </xf>
    <xf numFmtId="231" fontId="33" fillId="0" borderId="90" xfId="0" applyNumberFormat="1" applyFont="1" applyBorder="1" applyAlignment="1">
      <alignment horizontal="right" vertical="center"/>
    </xf>
    <xf numFmtId="230" fontId="33" fillId="0" borderId="92" xfId="0" applyNumberFormat="1" applyFont="1" applyBorder="1" applyAlignment="1">
      <alignment horizontal="right" vertical="center"/>
    </xf>
    <xf numFmtId="179" fontId="33" fillId="0" borderId="180" xfId="0" applyNumberFormat="1" applyFont="1" applyBorder="1" applyAlignment="1">
      <alignment horizontal="right" vertical="center"/>
    </xf>
    <xf numFmtId="179" fontId="33" fillId="0" borderId="85" xfId="0" applyNumberFormat="1" applyFont="1" applyBorder="1" applyAlignment="1">
      <alignment horizontal="right" vertical="center"/>
    </xf>
    <xf numFmtId="179" fontId="33" fillId="0" borderId="86" xfId="0" applyNumberFormat="1" applyFont="1" applyBorder="1" applyAlignment="1">
      <alignment horizontal="right" vertical="center"/>
    </xf>
    <xf numFmtId="9" fontId="33" fillId="0" borderId="196" xfId="0" applyNumberFormat="1" applyFont="1" applyBorder="1" applyAlignment="1">
      <alignment horizontal="right" vertical="center"/>
    </xf>
    <xf numFmtId="9" fontId="33" fillId="0" borderId="87" xfId="0" applyNumberFormat="1" applyFont="1" applyBorder="1" applyAlignment="1">
      <alignment horizontal="right" vertical="center"/>
    </xf>
    <xf numFmtId="9" fontId="33" fillId="0" borderId="88" xfId="0" applyNumberFormat="1" applyFont="1" applyBorder="1" applyAlignment="1">
      <alignment horizontal="right" vertical="center"/>
    </xf>
    <xf numFmtId="230" fontId="33" fillId="0" borderId="202" xfId="0" applyNumberFormat="1" applyFont="1" applyBorder="1" applyAlignment="1">
      <alignment horizontal="right" vertical="center"/>
    </xf>
    <xf numFmtId="230" fontId="33" fillId="0" borderId="197" xfId="0" applyNumberFormat="1" applyFont="1" applyBorder="1" applyAlignment="1">
      <alignment horizontal="right" vertical="center"/>
    </xf>
    <xf numFmtId="231" fontId="33" fillId="0" borderId="198" xfId="0" applyNumberFormat="1" applyFont="1" applyBorder="1" applyAlignment="1">
      <alignment horizontal="right" vertical="center"/>
    </xf>
    <xf numFmtId="231" fontId="33" fillId="0" borderId="195" xfId="0" applyNumberFormat="1" applyFont="1" applyBorder="1" applyAlignment="1">
      <alignment horizontal="right" vertical="center"/>
    </xf>
    <xf numFmtId="0" fontId="27" fillId="14" borderId="70" xfId="0" applyFont="1" applyFill="1" applyBorder="1" applyAlignment="1">
      <alignment horizontal="center" vertical="center"/>
    </xf>
    <xf numFmtId="0" fontId="27" fillId="14" borderId="77" xfId="0" applyFont="1" applyFill="1" applyBorder="1" applyAlignment="1">
      <alignment horizontal="center" vertical="center"/>
    </xf>
    <xf numFmtId="0" fontId="27" fillId="14" borderId="71" xfId="0" applyFont="1" applyFill="1" applyBorder="1" applyAlignment="1">
      <alignment horizontal="center" vertical="center"/>
    </xf>
    <xf numFmtId="0" fontId="27" fillId="14" borderId="69" xfId="0" applyFont="1" applyFill="1" applyBorder="1" applyAlignment="1">
      <alignment horizontal="center" vertical="center"/>
    </xf>
    <xf numFmtId="0" fontId="27" fillId="13" borderId="94" xfId="0" applyFont="1" applyFill="1" applyBorder="1" applyAlignment="1">
      <alignment horizontal="left" vertical="center"/>
    </xf>
    <xf numFmtId="0" fontId="27" fillId="13" borderId="54" xfId="0" applyFont="1" applyFill="1" applyBorder="1" applyAlignment="1">
      <alignment horizontal="left" vertical="center"/>
    </xf>
    <xf numFmtId="0" fontId="27" fillId="13" borderId="55" xfId="0" applyFont="1" applyFill="1" applyBorder="1" applyAlignment="1">
      <alignment horizontal="left" vertical="center"/>
    </xf>
    <xf numFmtId="0" fontId="27" fillId="13" borderId="13" xfId="0" applyFont="1" applyFill="1" applyBorder="1" applyAlignment="1">
      <alignment horizontal="left" vertical="center"/>
    </xf>
    <xf numFmtId="0" fontId="27" fillId="13" borderId="7" xfId="0" applyFont="1" applyFill="1" applyBorder="1" applyAlignment="1">
      <alignment horizontal="left" vertical="center"/>
    </xf>
    <xf numFmtId="0" fontId="27" fillId="13" borderId="9" xfId="0" applyFont="1" applyFill="1" applyBorder="1" applyAlignment="1">
      <alignment horizontal="left" vertical="center"/>
    </xf>
    <xf numFmtId="0" fontId="27" fillId="14" borderId="94" xfId="0" applyFont="1" applyFill="1" applyBorder="1" applyAlignment="1">
      <alignment horizontal="center" vertical="center" wrapText="1"/>
    </xf>
    <xf numFmtId="0" fontId="27" fillId="14" borderId="54" xfId="0" applyFont="1" applyFill="1" applyBorder="1" applyAlignment="1">
      <alignment horizontal="center" vertical="center" wrapText="1"/>
    </xf>
    <xf numFmtId="0" fontId="27" fillId="14" borderId="122" xfId="0" applyFont="1" applyFill="1" applyBorder="1" applyAlignment="1">
      <alignment horizontal="center" vertical="center" wrapText="1"/>
    </xf>
    <xf numFmtId="0" fontId="27" fillId="14" borderId="13" xfId="0" applyFont="1" applyFill="1" applyBorder="1" applyAlignment="1">
      <alignment horizontal="center" vertical="center" wrapText="1"/>
    </xf>
    <xf numFmtId="0" fontId="27" fillId="14" borderId="7" xfId="0" applyFont="1" applyFill="1" applyBorder="1" applyAlignment="1">
      <alignment horizontal="center" vertical="center" wrapText="1"/>
    </xf>
    <xf numFmtId="0" fontId="27" fillId="14" borderId="123" xfId="0" applyFont="1" applyFill="1" applyBorder="1" applyAlignment="1">
      <alignment horizontal="center" vertical="center" wrapText="1"/>
    </xf>
    <xf numFmtId="0" fontId="27" fillId="14" borderId="149" xfId="0" applyFont="1" applyFill="1" applyBorder="1" applyAlignment="1">
      <alignment horizontal="center" vertical="center"/>
    </xf>
    <xf numFmtId="0" fontId="27" fillId="14" borderId="54" xfId="0" applyFont="1" applyFill="1" applyBorder="1" applyAlignment="1">
      <alignment horizontal="center" vertical="center"/>
    </xf>
    <xf numFmtId="0" fontId="27" fillId="14" borderId="55" xfId="0" applyFont="1" applyFill="1" applyBorder="1" applyAlignment="1">
      <alignment horizontal="center" vertical="center"/>
    </xf>
    <xf numFmtId="0" fontId="27" fillId="14" borderId="8" xfId="0" applyFont="1" applyFill="1" applyBorder="1" applyAlignment="1">
      <alignment horizontal="center" vertical="center"/>
    </xf>
    <xf numFmtId="0" fontId="27" fillId="14" borderId="7" xfId="0" applyFont="1" applyFill="1" applyBorder="1" applyAlignment="1">
      <alignment horizontal="center" vertical="center"/>
    </xf>
    <xf numFmtId="0" fontId="27" fillId="14" borderId="9" xfId="0" applyFont="1" applyFill="1" applyBorder="1" applyAlignment="1">
      <alignment horizontal="center" vertical="center"/>
    </xf>
    <xf numFmtId="0" fontId="27" fillId="15" borderId="185" xfId="0" applyFont="1" applyFill="1" applyBorder="1" applyAlignment="1">
      <alignment horizontal="left" vertical="center" wrapText="1"/>
    </xf>
    <xf numFmtId="0" fontId="27" fillId="15" borderId="99" xfId="0" applyFont="1" applyFill="1" applyBorder="1" applyAlignment="1">
      <alignment horizontal="left" vertical="center" wrapText="1"/>
    </xf>
    <xf numFmtId="0" fontId="27" fillId="15" borderId="100" xfId="0" applyFont="1" applyFill="1" applyBorder="1" applyAlignment="1">
      <alignment horizontal="left" vertical="center" wrapText="1"/>
    </xf>
    <xf numFmtId="0" fontId="27" fillId="15" borderId="186" xfId="0" applyFont="1" applyFill="1" applyBorder="1" applyAlignment="1">
      <alignment horizontal="left" vertical="center" wrapText="1"/>
    </xf>
    <xf numFmtId="0" fontId="27" fillId="15" borderId="101" xfId="0" applyFont="1" applyFill="1" applyBorder="1" applyAlignment="1">
      <alignment horizontal="left" vertical="center" wrapText="1"/>
    </xf>
    <xf numFmtId="0" fontId="27" fillId="15" borderId="102" xfId="0" applyFont="1" applyFill="1" applyBorder="1" applyAlignment="1">
      <alignment horizontal="left" vertical="center" wrapText="1"/>
    </xf>
    <xf numFmtId="0" fontId="45" fillId="0" borderId="103" xfId="0" applyFont="1" applyBorder="1" applyAlignment="1">
      <alignment horizontal="center" vertical="center"/>
    </xf>
    <xf numFmtId="0" fontId="45" fillId="0" borderId="104" xfId="0" applyFont="1" applyBorder="1" applyAlignment="1">
      <alignment horizontal="center" vertical="center"/>
    </xf>
    <xf numFmtId="0" fontId="45" fillId="0" borderId="199" xfId="0" applyFont="1" applyBorder="1" applyAlignment="1">
      <alignment horizontal="center" vertical="center"/>
    </xf>
    <xf numFmtId="0" fontId="45" fillId="0" borderId="200" xfId="0" applyFont="1" applyBorder="1" applyAlignment="1">
      <alignment horizontal="center" vertical="center"/>
    </xf>
    <xf numFmtId="194" fontId="45" fillId="0" borderId="104" xfId="0" applyNumberFormat="1" applyFont="1" applyBorder="1" applyAlignment="1">
      <alignment horizontal="right" vertical="center"/>
    </xf>
    <xf numFmtId="194" fontId="45" fillId="0" borderId="105" xfId="0" applyNumberFormat="1" applyFont="1" applyBorder="1" applyAlignment="1">
      <alignment horizontal="right" vertical="center"/>
    </xf>
    <xf numFmtId="194" fontId="45" fillId="0" borderId="200" xfId="0" applyNumberFormat="1" applyFont="1" applyBorder="1" applyAlignment="1">
      <alignment horizontal="right" vertical="center"/>
    </xf>
    <xf numFmtId="194" fontId="45" fillId="0" borderId="201" xfId="0" applyNumberFormat="1" applyFont="1" applyBorder="1" applyAlignment="1">
      <alignment horizontal="right"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25" xfId="0" applyBorder="1" applyAlignment="1">
      <alignment horizontal="center" vertical="center"/>
    </xf>
    <xf numFmtId="0" fontId="0" fillId="0" borderId="64" xfId="0" applyBorder="1" applyAlignment="1">
      <alignment horizontal="center" vertical="center"/>
    </xf>
    <xf numFmtId="0" fontId="0" fillId="0" borderId="63" xfId="0" applyBorder="1" applyAlignment="1">
      <alignment horizontal="center" vertical="center"/>
    </xf>
    <xf numFmtId="0" fontId="0" fillId="0" borderId="107" xfId="0" applyBorder="1" applyAlignment="1">
      <alignment horizontal="center" vertical="center"/>
    </xf>
    <xf numFmtId="0" fontId="0" fillId="0" borderId="178" xfId="0" applyBorder="1" applyAlignment="1">
      <alignment vertical="center"/>
    </xf>
    <xf numFmtId="0" fontId="0" fillId="0" borderId="120" xfId="0" applyBorder="1" applyAlignment="1">
      <alignment vertical="center"/>
    </xf>
    <xf numFmtId="0" fontId="0" fillId="8" borderId="13" xfId="0" applyFill="1" applyBorder="1" applyAlignment="1">
      <alignment horizontal="center" vertical="center"/>
    </xf>
    <xf numFmtId="0" fontId="0" fillId="8" borderId="7" xfId="0" applyFill="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06" xfId="0" applyBorder="1" applyAlignment="1">
      <alignment horizontal="center" vertical="center"/>
    </xf>
    <xf numFmtId="189" fontId="33" fillId="0" borderId="180" xfId="0" applyNumberFormat="1" applyFont="1" applyBorder="1" applyAlignment="1">
      <alignment horizontal="right" vertical="center"/>
    </xf>
    <xf numFmtId="189" fontId="33" fillId="0" borderId="85" xfId="0" applyNumberFormat="1" applyFont="1" applyBorder="1" applyAlignment="1">
      <alignment horizontal="right" vertical="center"/>
    </xf>
    <xf numFmtId="189" fontId="33" fillId="0" borderId="86" xfId="0" applyNumberFormat="1" applyFont="1" applyBorder="1" applyAlignment="1">
      <alignment horizontal="right" vertical="center"/>
    </xf>
    <xf numFmtId="194" fontId="33" fillId="0" borderId="183" xfId="0" applyNumberFormat="1" applyFont="1" applyBorder="1" applyAlignment="1">
      <alignment horizontal="right" vertical="center"/>
    </xf>
    <xf numFmtId="0" fontId="0" fillId="0" borderId="175" xfId="0" applyBorder="1" applyAlignment="1">
      <alignment vertical="center"/>
    </xf>
    <xf numFmtId="0" fontId="0" fillId="0" borderId="114" xfId="0" applyBorder="1" applyAlignment="1">
      <alignment vertical="center"/>
    </xf>
    <xf numFmtId="0" fontId="35" fillId="14" borderId="54" xfId="0" applyFont="1" applyFill="1" applyBorder="1" applyAlignment="1">
      <alignment horizontal="center" vertical="center" wrapText="1"/>
    </xf>
    <xf numFmtId="0" fontId="35" fillId="14" borderId="55" xfId="0" applyFont="1" applyFill="1" applyBorder="1" applyAlignment="1">
      <alignment horizontal="center" vertical="center" wrapText="1"/>
    </xf>
    <xf numFmtId="0" fontId="35" fillId="14" borderId="7" xfId="0" applyFont="1" applyFill="1" applyBorder="1" applyAlignment="1">
      <alignment horizontal="center" vertical="center" wrapText="1"/>
    </xf>
    <xf numFmtId="0" fontId="35" fillId="14" borderId="9" xfId="0" applyFont="1" applyFill="1" applyBorder="1" applyAlignment="1">
      <alignment horizontal="center" vertical="center" wrapText="1"/>
    </xf>
    <xf numFmtId="0" fontId="0" fillId="0" borderId="70" xfId="0" applyBorder="1" applyAlignment="1">
      <alignment horizontal="center" vertical="center"/>
    </xf>
    <xf numFmtId="0" fontId="0" fillId="0" borderId="77" xfId="0" applyBorder="1" applyAlignment="1">
      <alignment horizontal="center" vertical="center"/>
    </xf>
    <xf numFmtId="0" fontId="0" fillId="0" borderId="71" xfId="0" applyBorder="1" applyAlignment="1">
      <alignment horizontal="center" vertical="center"/>
    </xf>
    <xf numFmtId="0" fontId="0" fillId="0" borderId="69" xfId="0" applyBorder="1" applyAlignment="1">
      <alignment horizontal="center" vertical="center"/>
    </xf>
    <xf numFmtId="0" fontId="0" fillId="0" borderId="74" xfId="0" applyBorder="1" applyAlignment="1">
      <alignment horizontal="center" vertical="center"/>
    </xf>
    <xf numFmtId="0" fontId="0" fillId="0" borderId="68" xfId="0" applyBorder="1" applyAlignment="1">
      <alignment horizontal="center" vertical="center"/>
    </xf>
    <xf numFmtId="0" fontId="0" fillId="0" borderId="150"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123" xfId="0" applyBorder="1" applyAlignment="1">
      <alignment horizontal="center" vertical="center"/>
    </xf>
    <xf numFmtId="9" fontId="33" fillId="0" borderId="183" xfId="0" applyNumberFormat="1" applyFont="1" applyBorder="1" applyAlignment="1">
      <alignment horizontal="right" vertical="center"/>
    </xf>
    <xf numFmtId="9" fontId="33" fillId="0" borderId="91" xfId="0" applyNumberFormat="1" applyFont="1" applyBorder="1" applyAlignment="1">
      <alignment horizontal="right" vertical="center"/>
    </xf>
    <xf numFmtId="9" fontId="33" fillId="0" borderId="92" xfId="0" applyNumberFormat="1" applyFont="1" applyBorder="1" applyAlignment="1">
      <alignment horizontal="right" vertical="center"/>
    </xf>
    <xf numFmtId="179" fontId="33" fillId="0" borderId="194" xfId="0" applyNumberFormat="1" applyFont="1" applyBorder="1" applyAlignment="1">
      <alignment horizontal="right" vertical="center"/>
    </xf>
    <xf numFmtId="179" fontId="33" fillId="0" borderId="89" xfId="0" applyNumberFormat="1" applyFont="1" applyBorder="1" applyAlignment="1">
      <alignment horizontal="right" vertical="center"/>
    </xf>
    <xf numFmtId="179" fontId="33" fillId="0" borderId="90" xfId="0" applyNumberFormat="1" applyFont="1" applyBorder="1" applyAlignment="1">
      <alignment horizontal="right" vertical="center"/>
    </xf>
    <xf numFmtId="0" fontId="27" fillId="10" borderId="185" xfId="0" applyFont="1" applyFill="1" applyBorder="1" applyAlignment="1">
      <alignment horizontal="left" vertical="center" wrapText="1"/>
    </xf>
    <xf numFmtId="0" fontId="27" fillId="10" borderId="99" xfId="0" applyFont="1" applyFill="1" applyBorder="1" applyAlignment="1">
      <alignment horizontal="left" vertical="center" wrapText="1"/>
    </xf>
    <xf numFmtId="0" fontId="27" fillId="10" borderId="100" xfId="0" applyFont="1" applyFill="1" applyBorder="1" applyAlignment="1">
      <alignment horizontal="left" vertical="center" wrapText="1"/>
    </xf>
    <xf numFmtId="0" fontId="27" fillId="10" borderId="186" xfId="0" applyFont="1" applyFill="1" applyBorder="1" applyAlignment="1">
      <alignment horizontal="left" vertical="center" wrapText="1"/>
    </xf>
    <xf numFmtId="0" fontId="27" fillId="10" borderId="101" xfId="0" applyFont="1" applyFill="1" applyBorder="1" applyAlignment="1">
      <alignment horizontal="left" vertical="center" wrapText="1"/>
    </xf>
    <xf numFmtId="0" fontId="27" fillId="10" borderId="102" xfId="0" applyFont="1" applyFill="1" applyBorder="1" applyAlignment="1">
      <alignment horizontal="left" vertical="center" wrapText="1"/>
    </xf>
    <xf numFmtId="0" fontId="27" fillId="13" borderId="149" xfId="0" applyFont="1" applyFill="1" applyBorder="1" applyAlignment="1">
      <alignment horizontal="center" vertical="center"/>
    </xf>
    <xf numFmtId="0" fontId="27" fillId="13" borderId="122" xfId="0" applyFont="1" applyFill="1" applyBorder="1" applyAlignment="1">
      <alignment horizontal="center" vertical="center"/>
    </xf>
    <xf numFmtId="0" fontId="27" fillId="13" borderId="8" xfId="0" applyFont="1" applyFill="1" applyBorder="1" applyAlignment="1">
      <alignment horizontal="center" vertical="center"/>
    </xf>
    <xf numFmtId="0" fontId="27" fillId="13" borderId="123" xfId="0" applyFont="1" applyFill="1" applyBorder="1" applyAlignment="1">
      <alignment horizontal="center" vertical="center"/>
    </xf>
    <xf numFmtId="0" fontId="27" fillId="13" borderId="70" xfId="0" applyFont="1" applyFill="1" applyBorder="1" applyAlignment="1">
      <alignment horizontal="center" vertical="center"/>
    </xf>
    <xf numFmtId="0" fontId="27" fillId="13" borderId="77" xfId="0" applyFont="1" applyFill="1" applyBorder="1" applyAlignment="1">
      <alignment horizontal="center" vertical="center"/>
    </xf>
    <xf numFmtId="0" fontId="27" fillId="13" borderId="71" xfId="0" applyFont="1" applyFill="1" applyBorder="1" applyAlignment="1">
      <alignment horizontal="center" vertical="center"/>
    </xf>
    <xf numFmtId="0" fontId="27" fillId="13" borderId="69" xfId="0" applyFont="1" applyFill="1" applyBorder="1" applyAlignment="1">
      <alignment horizontal="center" vertical="center"/>
    </xf>
    <xf numFmtId="199" fontId="33" fillId="0" borderId="91" xfId="0" applyNumberFormat="1" applyFont="1" applyBorder="1" applyAlignment="1">
      <alignment horizontal="right" vertical="center"/>
    </xf>
    <xf numFmtId="199" fontId="33" fillId="0" borderId="92" xfId="0" applyNumberFormat="1" applyFont="1" applyBorder="1" applyAlignment="1">
      <alignment horizontal="right" vertical="center"/>
    </xf>
    <xf numFmtId="187" fontId="33" fillId="0" borderId="70" xfId="0" applyNumberFormat="1" applyFont="1" applyBorder="1" applyAlignment="1">
      <alignment horizontal="right" vertical="center"/>
    </xf>
    <xf numFmtId="187" fontId="33" fillId="0" borderId="77" xfId="0" applyNumberFormat="1" applyFont="1" applyBorder="1" applyAlignment="1">
      <alignment horizontal="right" vertical="center"/>
    </xf>
    <xf numFmtId="187" fontId="33" fillId="0" borderId="72" xfId="0" applyNumberFormat="1" applyFont="1" applyBorder="1" applyAlignment="1">
      <alignment horizontal="right" vertical="center"/>
    </xf>
    <xf numFmtId="187" fontId="33" fillId="0" borderId="71" xfId="0" applyNumberFormat="1" applyFont="1" applyBorder="1" applyAlignment="1">
      <alignment horizontal="right" vertical="center"/>
    </xf>
    <xf numFmtId="187" fontId="33" fillId="0" borderId="69" xfId="0" applyNumberFormat="1" applyFont="1" applyBorder="1" applyAlignment="1">
      <alignment horizontal="right" vertical="center"/>
    </xf>
    <xf numFmtId="187" fontId="33" fillId="0" borderId="73" xfId="0" applyNumberFormat="1" applyFont="1" applyBorder="1" applyAlignment="1">
      <alignment horizontal="right" vertical="center"/>
    </xf>
    <xf numFmtId="0" fontId="0" fillId="0" borderId="149" xfId="0" applyBorder="1" applyAlignment="1">
      <alignment horizontal="center" vertical="center"/>
    </xf>
    <xf numFmtId="0" fontId="0" fillId="0" borderId="8" xfId="0" applyBorder="1" applyAlignment="1">
      <alignment horizontal="center" vertical="center"/>
    </xf>
    <xf numFmtId="0" fontId="4" fillId="0" borderId="180" xfId="0" applyFont="1" applyBorder="1" applyAlignment="1">
      <alignment horizontal="center" vertical="center"/>
    </xf>
    <xf numFmtId="0" fontId="4" fillId="0" borderId="85" xfId="0" applyFont="1" applyBorder="1" applyAlignment="1">
      <alignment horizontal="center" vertical="center"/>
    </xf>
    <xf numFmtId="0" fontId="4" fillId="0" borderId="113" xfId="0" applyFont="1" applyBorder="1" applyAlignment="1">
      <alignment horizontal="center" vertical="center"/>
    </xf>
    <xf numFmtId="0" fontId="4" fillId="0" borderId="183" xfId="0" applyFont="1" applyBorder="1" applyAlignment="1">
      <alignment horizontal="center" vertical="center"/>
    </xf>
    <xf numFmtId="0" fontId="4" fillId="0" borderId="91" xfId="0" applyFont="1" applyBorder="1" applyAlignment="1">
      <alignment horizontal="center" vertical="center"/>
    </xf>
    <xf numFmtId="0" fontId="4" fillId="0" borderId="119" xfId="0" applyFont="1"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4" fillId="0" borderId="196" xfId="0" applyFont="1" applyBorder="1" applyAlignment="1">
      <alignment horizontal="center" vertical="center"/>
    </xf>
    <xf numFmtId="0" fontId="4" fillId="0" borderId="87" xfId="0" applyFont="1" applyBorder="1" applyAlignment="1">
      <alignment horizontal="center" vertical="center"/>
    </xf>
    <xf numFmtId="0" fontId="4" fillId="0" borderId="197" xfId="0" applyFont="1" applyBorder="1" applyAlignment="1">
      <alignment horizontal="center" vertical="center"/>
    </xf>
    <xf numFmtId="0" fontId="0" fillId="0" borderId="37" xfId="0" applyBorder="1" applyAlignment="1">
      <alignment horizontal="center" vertical="center"/>
    </xf>
    <xf numFmtId="0" fontId="4" fillId="0" borderId="194" xfId="0" applyFont="1" applyBorder="1" applyAlignment="1">
      <alignment horizontal="center" vertical="center"/>
    </xf>
    <xf numFmtId="0" fontId="4" fillId="0" borderId="89" xfId="0" applyFont="1" applyBorder="1" applyAlignment="1">
      <alignment horizontal="center" vertical="center"/>
    </xf>
    <xf numFmtId="0" fontId="4" fillId="0" borderId="195" xfId="0" applyFont="1" applyBorder="1" applyAlignment="1">
      <alignment horizontal="center" vertical="center"/>
    </xf>
    <xf numFmtId="0" fontId="35" fillId="13" borderId="149" xfId="0" applyFont="1" applyFill="1" applyBorder="1" applyAlignment="1">
      <alignment horizontal="center" vertical="center" wrapText="1"/>
    </xf>
    <xf numFmtId="0" fontId="35" fillId="13" borderId="54" xfId="0" applyFont="1" applyFill="1" applyBorder="1" applyAlignment="1">
      <alignment horizontal="center" vertical="center" wrapText="1"/>
    </xf>
    <xf numFmtId="0" fontId="35" fillId="13" borderId="55" xfId="0" applyFont="1" applyFill="1" applyBorder="1" applyAlignment="1">
      <alignment horizontal="center" vertical="center" wrapText="1"/>
    </xf>
    <xf numFmtId="0" fontId="35" fillId="13" borderId="8" xfId="0" applyFont="1" applyFill="1" applyBorder="1" applyAlignment="1">
      <alignment horizontal="center" vertical="center" wrapText="1"/>
    </xf>
    <xf numFmtId="0" fontId="35" fillId="13" borderId="7" xfId="0" applyFont="1" applyFill="1" applyBorder="1" applyAlignment="1">
      <alignment horizontal="center" vertical="center" wrapText="1"/>
    </xf>
    <xf numFmtId="0" fontId="35" fillId="13" borderId="9" xfId="0" applyFont="1" applyFill="1" applyBorder="1" applyAlignment="1">
      <alignment horizontal="center" vertical="center" wrapText="1"/>
    </xf>
    <xf numFmtId="0" fontId="0" fillId="8" borderId="94" xfId="0" applyFill="1" applyBorder="1" applyAlignment="1">
      <alignment horizontal="center" vertical="center"/>
    </xf>
    <xf numFmtId="0" fontId="0" fillId="8" borderId="54" xfId="0" applyFill="1" applyBorder="1" applyAlignment="1">
      <alignment horizontal="center" vertical="center"/>
    </xf>
    <xf numFmtId="178" fontId="15" fillId="0" borderId="91" xfId="0" applyNumberFormat="1" applyFont="1" applyBorder="1" applyAlignment="1">
      <alignment horizontal="right" vertical="center"/>
    </xf>
    <xf numFmtId="189" fontId="33" fillId="0" borderId="114" xfId="0" applyNumberFormat="1" applyFont="1" applyBorder="1" applyAlignment="1">
      <alignment horizontal="right" vertical="center"/>
    </xf>
    <xf numFmtId="189" fontId="33" fillId="0" borderId="115" xfId="0" applyNumberFormat="1" applyFont="1" applyBorder="1" applyAlignment="1">
      <alignment horizontal="right" vertical="center"/>
    </xf>
    <xf numFmtId="178" fontId="15" fillId="0" borderId="85" xfId="0" applyNumberFormat="1" applyFont="1" applyBorder="1" applyAlignment="1">
      <alignment horizontal="right" vertical="center"/>
    </xf>
    <xf numFmtId="0" fontId="0" fillId="8" borderId="150" xfId="0" applyFill="1" applyBorder="1" applyAlignment="1">
      <alignment horizontal="center" vertical="center"/>
    </xf>
    <xf numFmtId="0" fontId="0" fillId="8" borderId="38" xfId="0" applyFill="1" applyBorder="1" applyAlignment="1">
      <alignment horizontal="center" vertical="center"/>
    </xf>
    <xf numFmtId="0" fontId="0" fillId="8" borderId="141" xfId="0" applyFill="1" applyBorder="1" applyAlignment="1">
      <alignment horizontal="center" vertical="center"/>
    </xf>
    <xf numFmtId="0" fontId="0" fillId="8" borderId="4" xfId="0" applyFill="1" applyBorder="1" applyAlignment="1">
      <alignment horizontal="center" vertical="center"/>
    </xf>
    <xf numFmtId="178" fontId="15" fillId="0" borderId="87" xfId="0" applyNumberFormat="1" applyFont="1" applyBorder="1" applyAlignment="1">
      <alignment horizontal="right" vertical="center"/>
    </xf>
    <xf numFmtId="178" fontId="15" fillId="0" borderId="89" xfId="0" applyNumberFormat="1" applyFont="1" applyBorder="1" applyAlignment="1">
      <alignment horizontal="right" vertical="center"/>
    </xf>
    <xf numFmtId="187" fontId="33" fillId="0" borderId="74" xfId="0" applyNumberFormat="1" applyFont="1" applyBorder="1" applyAlignment="1">
      <alignment horizontal="right" vertical="center"/>
    </xf>
    <xf numFmtId="187" fontId="33" fillId="0" borderId="68" xfId="0" applyNumberFormat="1" applyFont="1" applyBorder="1" applyAlignment="1">
      <alignment horizontal="right" vertical="center"/>
    </xf>
    <xf numFmtId="187" fontId="33" fillId="0" borderId="76" xfId="0" applyNumberFormat="1" applyFont="1" applyBorder="1" applyAlignment="1">
      <alignment horizontal="right" vertical="center"/>
    </xf>
    <xf numFmtId="0" fontId="27" fillId="13" borderId="149" xfId="0" applyFont="1" applyFill="1" applyBorder="1" applyAlignment="1">
      <alignment horizontal="center" vertical="center" wrapText="1"/>
    </xf>
    <xf numFmtId="0" fontId="27" fillId="13" borderId="8" xfId="0" applyFont="1" applyFill="1" applyBorder="1" applyAlignment="1">
      <alignment horizontal="center" vertical="center" wrapText="1"/>
    </xf>
    <xf numFmtId="194" fontId="33" fillId="0" borderId="196" xfId="0" applyNumberFormat="1" applyFont="1" applyBorder="1" applyAlignment="1">
      <alignment horizontal="right" vertical="center"/>
    </xf>
    <xf numFmtId="194" fontId="33" fillId="0" borderId="87" xfId="0" applyNumberFormat="1" applyFont="1" applyBorder="1" applyAlignment="1">
      <alignment horizontal="right" vertical="center"/>
    </xf>
    <xf numFmtId="194" fontId="33" fillId="0" borderId="88" xfId="0" applyNumberFormat="1" applyFont="1" applyBorder="1" applyAlignment="1">
      <alignment horizontal="right" vertical="center"/>
    </xf>
    <xf numFmtId="189" fontId="33" fillId="0" borderId="194" xfId="0" applyNumberFormat="1" applyFont="1" applyBorder="1" applyAlignment="1">
      <alignment horizontal="right" vertical="center"/>
    </xf>
    <xf numFmtId="189" fontId="33" fillId="0" borderId="89" xfId="0" applyNumberFormat="1" applyFont="1" applyBorder="1" applyAlignment="1">
      <alignment horizontal="right" vertical="center"/>
    </xf>
    <xf numFmtId="189" fontId="33" fillId="0" borderId="90" xfId="0" applyNumberFormat="1" applyFont="1" applyBorder="1" applyAlignment="1">
      <alignment horizontal="right" vertical="center"/>
    </xf>
    <xf numFmtId="190" fontId="33" fillId="0" borderId="85" xfId="0" applyNumberFormat="1" applyFont="1" applyBorder="1" applyAlignment="1">
      <alignment horizontal="right" vertical="center"/>
    </xf>
    <xf numFmtId="190" fontId="33" fillId="0" borderId="86" xfId="0" applyNumberFormat="1" applyFont="1" applyBorder="1" applyAlignment="1">
      <alignment horizontal="right" vertical="center"/>
    </xf>
    <xf numFmtId="199" fontId="33" fillId="0" borderId="87" xfId="0" applyNumberFormat="1" applyFont="1" applyBorder="1" applyAlignment="1">
      <alignment horizontal="right" vertical="center"/>
    </xf>
    <xf numFmtId="199" fontId="33" fillId="0" borderId="88" xfId="0" applyNumberFormat="1" applyFont="1" applyBorder="1" applyAlignment="1">
      <alignment horizontal="right" vertical="center"/>
    </xf>
    <xf numFmtId="190" fontId="33" fillId="0" borderId="89" xfId="0" applyNumberFormat="1" applyFont="1" applyBorder="1" applyAlignment="1">
      <alignment horizontal="right" vertical="center"/>
    </xf>
    <xf numFmtId="190" fontId="33" fillId="0" borderId="90" xfId="0" applyNumberFormat="1" applyFont="1" applyBorder="1" applyAlignment="1">
      <alignment horizontal="right" vertical="center"/>
    </xf>
    <xf numFmtId="0" fontId="0" fillId="0" borderId="182" xfId="0" applyBorder="1" applyAlignment="1">
      <alignment horizontal="center" vertical="center"/>
    </xf>
    <xf numFmtId="0" fontId="0" fillId="0" borderId="91" xfId="0" applyBorder="1" applyAlignment="1">
      <alignment horizontal="center" vertical="center"/>
    </xf>
    <xf numFmtId="0" fontId="0" fillId="0" borderId="92" xfId="0" applyBorder="1" applyAlignment="1">
      <alignment horizontal="center" vertical="center"/>
    </xf>
    <xf numFmtId="187" fontId="33" fillId="0" borderId="175" xfId="0" applyNumberFormat="1" applyFont="1" applyBorder="1" applyAlignment="1">
      <alignment horizontal="right" vertical="center"/>
    </xf>
    <xf numFmtId="187" fontId="33" fillId="0" borderId="114" xfId="0" applyNumberFormat="1" applyFont="1" applyBorder="1" applyAlignment="1">
      <alignment horizontal="right" vertical="center"/>
    </xf>
    <xf numFmtId="0" fontId="4" fillId="0" borderId="175" xfId="0" applyFont="1" applyBorder="1" applyAlignment="1">
      <alignment horizontal="center" vertical="center"/>
    </xf>
    <xf numFmtId="0" fontId="4" fillId="0" borderId="114" xfId="0" applyFont="1" applyBorder="1" applyAlignment="1">
      <alignment horizontal="center" vertical="center"/>
    </xf>
    <xf numFmtId="0" fontId="4" fillId="0" borderId="115" xfId="0" applyFont="1" applyBorder="1" applyAlignment="1">
      <alignment horizontal="center" vertical="center"/>
    </xf>
    <xf numFmtId="189" fontId="33" fillId="0" borderId="175" xfId="0" applyNumberFormat="1" applyFont="1" applyBorder="1" applyAlignment="1">
      <alignment horizontal="right" vertical="center"/>
    </xf>
    <xf numFmtId="0" fontId="27" fillId="10" borderId="99" xfId="0" applyFont="1" applyFill="1" applyBorder="1" applyAlignment="1">
      <alignment horizontal="right" vertical="center"/>
    </xf>
    <xf numFmtId="0" fontId="27" fillId="10" borderId="101" xfId="0" applyFont="1" applyFill="1" applyBorder="1" applyAlignment="1">
      <alignment horizontal="right" vertical="center"/>
    </xf>
    <xf numFmtId="0" fontId="27" fillId="10" borderId="185" xfId="0" applyFont="1" applyFill="1" applyBorder="1" applyAlignment="1">
      <alignment vertical="center" wrapText="1"/>
    </xf>
    <xf numFmtId="0" fontId="27" fillId="10" borderId="99" xfId="0" applyFont="1" applyFill="1" applyBorder="1" applyAlignment="1">
      <alignment vertical="center" wrapText="1"/>
    </xf>
    <xf numFmtId="0" fontId="27" fillId="10" borderId="192" xfId="0" applyFont="1" applyFill="1" applyBorder="1" applyAlignment="1">
      <alignment vertical="center" wrapText="1"/>
    </xf>
    <xf numFmtId="0" fontId="27" fillId="10" borderId="186" xfId="0" applyFont="1" applyFill="1" applyBorder="1" applyAlignment="1">
      <alignment vertical="center" wrapText="1"/>
    </xf>
    <xf numFmtId="0" fontId="27" fillId="10" borderId="101" xfId="0" applyFont="1" applyFill="1" applyBorder="1" applyAlignment="1">
      <alignment vertical="center" wrapText="1"/>
    </xf>
    <xf numFmtId="0" fontId="27" fillId="10" borderId="193" xfId="0" applyFont="1" applyFill="1" applyBorder="1" applyAlignment="1">
      <alignment vertical="center" wrapText="1"/>
    </xf>
    <xf numFmtId="0" fontId="0" fillId="0" borderId="55" xfId="0" applyBorder="1" applyAlignment="1">
      <alignment horizontal="center" vertical="center"/>
    </xf>
    <xf numFmtId="0" fontId="0" fillId="0" borderId="9" xfId="0" applyBorder="1" applyAlignment="1">
      <alignment horizontal="center" vertical="center"/>
    </xf>
    <xf numFmtId="194" fontId="33" fillId="0" borderId="119" xfId="0" applyNumberFormat="1" applyFont="1" applyBorder="1" applyAlignment="1">
      <alignment horizontal="right" vertical="center"/>
    </xf>
    <xf numFmtId="189" fontId="33" fillId="0" borderId="116" xfId="0" applyNumberFormat="1" applyFont="1" applyBorder="1" applyAlignment="1">
      <alignment horizontal="right" vertical="center"/>
    </xf>
    <xf numFmtId="189" fontId="33" fillId="0" borderId="117" xfId="0" applyNumberFormat="1" applyFont="1" applyBorder="1" applyAlignment="1">
      <alignment horizontal="right" vertical="center"/>
    </xf>
    <xf numFmtId="189" fontId="33" fillId="0" borderId="118" xfId="0" applyNumberFormat="1" applyFont="1" applyBorder="1" applyAlignment="1">
      <alignment horizontal="right" vertical="center"/>
    </xf>
    <xf numFmtId="237" fontId="17" fillId="0" borderId="94" xfId="0" applyNumberFormat="1" applyFont="1" applyBorder="1" applyAlignment="1">
      <alignment horizontal="right" vertical="center"/>
    </xf>
    <xf numFmtId="237" fontId="17" fillId="0" borderId="54" xfId="0" applyNumberFormat="1" applyFont="1" applyBorder="1" applyAlignment="1">
      <alignment horizontal="right" vertical="center"/>
    </xf>
    <xf numFmtId="237" fontId="17" fillId="0" borderId="55" xfId="0" applyNumberFormat="1" applyFont="1" applyBorder="1" applyAlignment="1">
      <alignment horizontal="right" vertical="center"/>
    </xf>
    <xf numFmtId="237" fontId="17" fillId="0" borderId="13" xfId="0" applyNumberFormat="1" applyFont="1" applyBorder="1" applyAlignment="1">
      <alignment horizontal="right" vertical="center"/>
    </xf>
    <xf numFmtId="237" fontId="17" fillId="0" borderId="7" xfId="0" applyNumberFormat="1" applyFont="1" applyBorder="1" applyAlignment="1">
      <alignment horizontal="right" vertical="center"/>
    </xf>
    <xf numFmtId="237" fontId="17" fillId="0" borderId="9" xfId="0" applyNumberFormat="1" applyFont="1" applyBorder="1" applyAlignment="1">
      <alignment horizontal="right" vertical="center"/>
    </xf>
    <xf numFmtId="0" fontId="27" fillId="10" borderId="185" xfId="0" applyFont="1" applyFill="1" applyBorder="1" applyAlignment="1">
      <alignment vertical="center"/>
    </xf>
    <xf numFmtId="0" fontId="27" fillId="10" borderId="186" xfId="0" applyFont="1" applyFill="1" applyBorder="1" applyAlignment="1">
      <alignment vertical="center"/>
    </xf>
    <xf numFmtId="187" fontId="33" fillId="0" borderId="180" xfId="0" applyNumberFormat="1" applyFont="1" applyBorder="1" applyAlignment="1">
      <alignment horizontal="right" vertical="center"/>
    </xf>
    <xf numFmtId="189" fontId="33" fillId="0" borderId="189" xfId="0" applyNumberFormat="1" applyFont="1" applyBorder="1" applyAlignment="1">
      <alignment horizontal="right" vertical="center"/>
    </xf>
    <xf numFmtId="189" fontId="33" fillId="0" borderId="190" xfId="0" applyNumberFormat="1" applyFont="1" applyBorder="1" applyAlignment="1">
      <alignment horizontal="right" vertical="center"/>
    </xf>
    <xf numFmtId="189" fontId="33" fillId="0" borderId="191" xfId="0" applyNumberFormat="1" applyFont="1" applyBorder="1" applyAlignment="1">
      <alignment horizontal="right" vertical="center"/>
    </xf>
    <xf numFmtId="187" fontId="33" fillId="0" borderId="184" xfId="0" applyNumberFormat="1" applyFont="1" applyBorder="1" applyAlignment="1">
      <alignment horizontal="right" vertical="center"/>
    </xf>
    <xf numFmtId="187" fontId="33" fillId="0" borderId="176" xfId="0" applyNumberFormat="1" applyFont="1" applyBorder="1" applyAlignment="1">
      <alignment horizontal="right" vertical="center"/>
    </xf>
    <xf numFmtId="0" fontId="0" fillId="0" borderId="56" xfId="0" applyBorder="1" applyAlignment="1">
      <alignment horizontal="center" vertical="center"/>
    </xf>
    <xf numFmtId="0" fontId="0" fillId="0" borderId="0" xfId="0" applyBorder="1" applyAlignment="1">
      <alignment horizontal="center" vertical="center"/>
    </xf>
    <xf numFmtId="189" fontId="33" fillId="0" borderId="179" xfId="0" applyNumberFormat="1" applyFont="1" applyBorder="1" applyAlignment="1">
      <alignment horizontal="right" vertical="center"/>
    </xf>
    <xf numFmtId="194" fontId="33" fillId="0" borderId="176" xfId="0" applyNumberFormat="1" applyFont="1" applyBorder="1" applyAlignment="1">
      <alignment horizontal="right" vertical="center"/>
    </xf>
    <xf numFmtId="194" fontId="33" fillId="0" borderId="177" xfId="0" applyNumberFormat="1" applyFont="1" applyBorder="1" applyAlignment="1">
      <alignment horizontal="right" vertical="center"/>
    </xf>
    <xf numFmtId="0" fontId="27" fillId="13" borderId="40" xfId="0" applyFont="1" applyFill="1" applyBorder="1" applyAlignment="1">
      <alignment horizontal="center" vertical="center" wrapText="1"/>
    </xf>
    <xf numFmtId="0" fontId="27" fillId="13" borderId="0" xfId="0" applyFont="1" applyFill="1" applyBorder="1" applyAlignment="1">
      <alignment horizontal="center" vertical="center" wrapText="1"/>
    </xf>
    <xf numFmtId="0" fontId="27" fillId="13" borderId="57" xfId="0" applyFont="1" applyFill="1" applyBorder="1" applyAlignment="1">
      <alignment horizontal="center" vertical="center" wrapText="1"/>
    </xf>
    <xf numFmtId="194" fontId="33" fillId="0" borderId="116" xfId="0" applyNumberFormat="1" applyFont="1" applyBorder="1" applyAlignment="1">
      <alignment horizontal="right" vertical="center"/>
    </xf>
    <xf numFmtId="189" fontId="33" fillId="0" borderId="113" xfId="0" applyNumberFormat="1" applyFont="1" applyBorder="1" applyAlignment="1">
      <alignment horizontal="right" vertical="center"/>
    </xf>
    <xf numFmtId="9" fontId="37" fillId="0" borderId="94" xfId="0" applyNumberFormat="1" applyFont="1" applyFill="1" applyBorder="1" applyAlignment="1">
      <alignment vertical="center"/>
    </xf>
    <xf numFmtId="9" fontId="37" fillId="0" borderId="54" xfId="0" applyNumberFormat="1" applyFont="1" applyFill="1" applyBorder="1" applyAlignment="1">
      <alignment vertical="center"/>
    </xf>
    <xf numFmtId="9" fontId="37" fillId="0" borderId="55" xfId="0" applyNumberFormat="1" applyFont="1" applyFill="1" applyBorder="1" applyAlignment="1">
      <alignment vertical="center"/>
    </xf>
    <xf numFmtId="9" fontId="37" fillId="0" borderId="13" xfId="0" applyNumberFormat="1" applyFont="1" applyFill="1" applyBorder="1" applyAlignment="1">
      <alignment vertical="center"/>
    </xf>
    <xf numFmtId="9" fontId="37" fillId="0" borderId="7" xfId="0" applyNumberFormat="1" applyFont="1" applyFill="1" applyBorder="1" applyAlignment="1">
      <alignment vertical="center"/>
    </xf>
    <xf numFmtId="9" fontId="37" fillId="0" borderId="9" xfId="0" applyNumberFormat="1" applyFont="1" applyFill="1" applyBorder="1" applyAlignment="1">
      <alignment vertical="center"/>
    </xf>
    <xf numFmtId="0" fontId="27" fillId="10" borderId="0" xfId="0" applyFont="1" applyFill="1" applyBorder="1" applyAlignment="1">
      <alignment horizontal="right" vertical="center"/>
    </xf>
    <xf numFmtId="0" fontId="27" fillId="10" borderId="57" xfId="0" applyFont="1" applyFill="1" applyBorder="1" applyAlignment="1">
      <alignment horizontal="right" vertical="center"/>
    </xf>
    <xf numFmtId="0" fontId="0" fillId="3" borderId="75" xfId="0" applyFill="1" applyBorder="1" applyAlignment="1">
      <alignment vertical="center"/>
    </xf>
    <xf numFmtId="0" fontId="0" fillId="3" borderId="81" xfId="0" applyFill="1" applyBorder="1" applyAlignment="1">
      <alignment vertical="center"/>
    </xf>
    <xf numFmtId="0" fontId="0" fillId="3" borderId="1" xfId="0" applyFill="1" applyBorder="1" applyAlignment="1">
      <alignment vertical="center"/>
    </xf>
    <xf numFmtId="0" fontId="0" fillId="24" borderId="129" xfId="0" applyFill="1" applyBorder="1" applyAlignment="1" applyProtection="1">
      <alignment vertical="center"/>
      <protection locked="0"/>
    </xf>
    <xf numFmtId="0" fontId="0" fillId="24" borderId="131" xfId="0" applyFill="1" applyBorder="1" applyAlignment="1" applyProtection="1">
      <alignment vertical="center"/>
      <protection locked="0"/>
    </xf>
    <xf numFmtId="0" fontId="0" fillId="0" borderId="129" xfId="0" applyBorder="1" applyAlignment="1" applyProtection="1">
      <alignment vertical="center"/>
      <protection locked="0"/>
    </xf>
    <xf numFmtId="0" fontId="0" fillId="0" borderId="131" xfId="0" applyBorder="1" applyAlignment="1" applyProtection="1">
      <alignment vertical="center"/>
      <protection locked="0"/>
    </xf>
    <xf numFmtId="5" fontId="0" fillId="0" borderId="206" xfId="0" applyNumberFormat="1" applyFill="1" applyBorder="1" applyAlignment="1" applyProtection="1">
      <alignment vertical="center"/>
      <protection locked="0"/>
    </xf>
    <xf numFmtId="5" fontId="0" fillId="0" borderId="207" xfId="0" applyNumberFormat="1" applyFill="1" applyBorder="1" applyAlignment="1" applyProtection="1">
      <alignment vertical="center"/>
      <protection locked="0"/>
    </xf>
    <xf numFmtId="5" fontId="0" fillId="0" borderId="208" xfId="0" applyNumberFormat="1" applyFill="1" applyBorder="1" applyAlignment="1" applyProtection="1">
      <alignment vertical="center"/>
      <protection locked="0"/>
    </xf>
    <xf numFmtId="5" fontId="0" fillId="27" borderId="125" xfId="0" applyNumberFormat="1" applyFill="1" applyBorder="1" applyAlignment="1" applyProtection="1">
      <alignment vertical="center"/>
      <protection locked="0"/>
    </xf>
    <xf numFmtId="0" fontId="0" fillId="3" borderId="126" xfId="0" applyFill="1" applyBorder="1" applyAlignment="1">
      <alignment vertical="top"/>
    </xf>
    <xf numFmtId="0" fontId="0" fillId="3" borderId="125" xfId="0" applyFill="1" applyBorder="1" applyAlignment="1">
      <alignment vertical="top"/>
    </xf>
    <xf numFmtId="0" fontId="0" fillId="3" borderId="127" xfId="0" applyFill="1" applyBorder="1" applyAlignment="1">
      <alignment vertical="top"/>
    </xf>
    <xf numFmtId="0" fontId="0" fillId="3" borderId="126" xfId="0" applyFill="1" applyBorder="1" applyAlignment="1">
      <alignment vertical="top" wrapText="1"/>
    </xf>
    <xf numFmtId="0" fontId="0" fillId="3" borderId="126" xfId="0" applyFill="1" applyBorder="1" applyAlignment="1">
      <alignment vertical="center"/>
    </xf>
    <xf numFmtId="5" fontId="0" fillId="27" borderId="126" xfId="0" applyNumberFormat="1" applyFill="1" applyBorder="1" applyAlignment="1" applyProtection="1">
      <alignment vertical="center"/>
      <protection locked="0"/>
    </xf>
    <xf numFmtId="5" fontId="0" fillId="0" borderId="129" xfId="0" applyNumberFormat="1" applyFill="1" applyBorder="1" applyAlignment="1" applyProtection="1">
      <alignment vertical="center"/>
      <protection locked="0"/>
    </xf>
    <xf numFmtId="5" fontId="0" fillId="0" borderId="130" xfId="0" applyNumberFormat="1" applyFill="1" applyBorder="1" applyAlignment="1" applyProtection="1">
      <alignment vertical="center"/>
      <protection locked="0"/>
    </xf>
    <xf numFmtId="5" fontId="0" fillId="0" borderId="131" xfId="0" applyNumberFormat="1" applyFill="1" applyBorder="1" applyAlignment="1" applyProtection="1">
      <alignment vertical="center"/>
      <protection locked="0"/>
    </xf>
    <xf numFmtId="0" fontId="0" fillId="3" borderId="125" xfId="0" applyFill="1" applyBorder="1" applyAlignment="1">
      <alignment vertical="center"/>
    </xf>
    <xf numFmtId="0" fontId="0" fillId="3" borderId="127" xfId="0" applyFill="1" applyBorder="1" applyAlignment="1">
      <alignment vertical="center"/>
    </xf>
    <xf numFmtId="5" fontId="0" fillId="27" borderId="14" xfId="0" applyNumberFormat="1" applyFill="1" applyBorder="1" applyAlignment="1" applyProtection="1">
      <alignment vertical="center"/>
      <protection locked="0"/>
    </xf>
    <xf numFmtId="5" fontId="0" fillId="27" borderId="15" xfId="0" applyNumberFormat="1" applyFill="1" applyBorder="1" applyAlignment="1" applyProtection="1">
      <alignment vertical="center"/>
      <protection locked="0"/>
    </xf>
    <xf numFmtId="5" fontId="0" fillId="27" borderId="16" xfId="0" applyNumberFormat="1" applyFill="1" applyBorder="1" applyAlignment="1" applyProtection="1">
      <alignment vertical="center"/>
      <protection locked="0"/>
    </xf>
    <xf numFmtId="5" fontId="0" fillId="27" borderId="127" xfId="0" applyNumberFormat="1" applyFill="1" applyBorder="1" applyAlignment="1" applyProtection="1">
      <alignment vertical="center"/>
      <protection locked="0"/>
    </xf>
    <xf numFmtId="0" fontId="17" fillId="6" borderId="82" xfId="0" applyFont="1" applyFill="1" applyBorder="1" applyAlignment="1">
      <alignment vertical="center"/>
    </xf>
    <xf numFmtId="0" fontId="17" fillId="6" borderId="2" xfId="0" applyFont="1" applyFill="1" applyBorder="1" applyAlignment="1">
      <alignment vertical="center"/>
    </xf>
    <xf numFmtId="0" fontId="17" fillId="6" borderId="3" xfId="0" applyFont="1" applyFill="1" applyBorder="1" applyAlignment="1">
      <alignment vertical="center"/>
    </xf>
    <xf numFmtId="0" fontId="17" fillId="28" borderId="75" xfId="0" applyFont="1" applyFill="1" applyBorder="1" applyAlignment="1">
      <alignment vertical="center"/>
    </xf>
    <xf numFmtId="0" fontId="17" fillId="28" borderId="81" xfId="0" applyFont="1" applyFill="1" applyBorder="1" applyAlignment="1">
      <alignment vertical="center"/>
    </xf>
    <xf numFmtId="0" fontId="17" fillId="28" borderId="104" xfId="0" applyFont="1" applyFill="1" applyBorder="1" applyAlignment="1">
      <alignment vertical="center"/>
    </xf>
    <xf numFmtId="0" fontId="17" fillId="28" borderId="78" xfId="0" applyFont="1" applyFill="1" applyBorder="1" applyAlignment="1">
      <alignment vertical="center"/>
    </xf>
    <xf numFmtId="0" fontId="17" fillId="28" borderId="82" xfId="0" applyFont="1" applyFill="1" applyBorder="1" applyAlignment="1">
      <alignment vertical="center"/>
    </xf>
    <xf numFmtId="0" fontId="17" fillId="28" borderId="2" xfId="0" applyFont="1" applyFill="1" applyBorder="1" applyAlignment="1">
      <alignment vertical="center"/>
    </xf>
    <xf numFmtId="0" fontId="17" fillId="28" borderId="3" xfId="0" applyFont="1" applyFill="1" applyBorder="1" applyAlignment="1">
      <alignment vertical="center"/>
    </xf>
    <xf numFmtId="5" fontId="0" fillId="23" borderId="206" xfId="0" applyNumberFormat="1" applyFill="1" applyBorder="1" applyAlignment="1" applyProtection="1">
      <alignment vertical="center"/>
      <protection locked="0"/>
    </xf>
    <xf numFmtId="5" fontId="0" fillId="23" borderId="207" xfId="0" applyNumberFormat="1" applyFill="1" applyBorder="1" applyAlignment="1" applyProtection="1">
      <alignment vertical="center"/>
      <protection locked="0"/>
    </xf>
    <xf numFmtId="5" fontId="0" fillId="23" borderId="208" xfId="0" applyNumberFormat="1" applyFill="1" applyBorder="1" applyAlignment="1" applyProtection="1">
      <alignment vertical="center"/>
      <protection locked="0"/>
    </xf>
    <xf numFmtId="5" fontId="0" fillId="27" borderId="211" xfId="0" applyNumberFormat="1" applyFill="1" applyBorder="1" applyAlignment="1" applyProtection="1">
      <alignment vertical="center"/>
      <protection locked="0"/>
    </xf>
    <xf numFmtId="0" fontId="0" fillId="3" borderId="125" xfId="0" applyFill="1" applyBorder="1" applyAlignment="1">
      <alignment vertical="top" wrapText="1"/>
    </xf>
    <xf numFmtId="5" fontId="0" fillId="27" borderId="213" xfId="0" applyNumberFormat="1" applyFill="1" applyBorder="1" applyAlignment="1" applyProtection="1">
      <alignment vertical="center"/>
      <protection locked="0"/>
    </xf>
    <xf numFmtId="0" fontId="0" fillId="7" borderId="127" xfId="0" applyFill="1" applyBorder="1" applyAlignment="1">
      <alignment vertical="center"/>
    </xf>
    <xf numFmtId="5" fontId="0" fillId="27" borderId="212" xfId="0" applyNumberFormat="1" applyFill="1" applyBorder="1" applyAlignment="1" applyProtection="1">
      <alignment vertical="center"/>
      <protection locked="0"/>
    </xf>
    <xf numFmtId="5" fontId="0" fillId="27" borderId="188" xfId="0" applyNumberFormat="1" applyFill="1" applyBorder="1" applyAlignment="1" applyProtection="1">
      <alignment vertical="center"/>
      <protection locked="0"/>
    </xf>
    <xf numFmtId="5" fontId="0" fillId="23" borderId="188" xfId="0" applyNumberFormat="1" applyFill="1" applyBorder="1" applyAlignment="1" applyProtection="1">
      <alignment vertical="center"/>
      <protection locked="0"/>
    </xf>
    <xf numFmtId="0" fontId="0" fillId="7" borderId="94" xfId="0" applyFill="1" applyBorder="1" applyAlignment="1" applyProtection="1">
      <alignment vertical="center"/>
      <protection locked="0"/>
    </xf>
    <xf numFmtId="0" fontId="0" fillId="7" borderId="54" xfId="0" applyFill="1" applyBorder="1" applyAlignment="1" applyProtection="1">
      <alignment vertical="center"/>
      <protection locked="0"/>
    </xf>
    <xf numFmtId="0" fontId="0" fillId="7" borderId="55" xfId="0" applyFill="1" applyBorder="1" applyAlignment="1" applyProtection="1">
      <alignment vertical="center"/>
      <protection locked="0"/>
    </xf>
    <xf numFmtId="5" fontId="0" fillId="27" borderId="126" xfId="0" applyNumberFormat="1" applyFill="1" applyBorder="1" applyAlignment="1">
      <alignment vertical="center"/>
    </xf>
    <xf numFmtId="5" fontId="0" fillId="27" borderId="127" xfId="0" applyNumberFormat="1" applyFill="1" applyBorder="1" applyAlignment="1">
      <alignment vertical="center"/>
    </xf>
    <xf numFmtId="5" fontId="0" fillId="27" borderId="127" xfId="0" applyNumberFormat="1" applyFill="1" applyBorder="1" applyAlignment="1" applyProtection="1">
      <alignment vertical="center"/>
    </xf>
    <xf numFmtId="5" fontId="0" fillId="27" borderId="126" xfId="0" applyNumberFormat="1" applyFill="1" applyBorder="1" applyAlignment="1" applyProtection="1">
      <alignment vertical="center"/>
    </xf>
    <xf numFmtId="0" fontId="0" fillId="3" borderId="128" xfId="0" applyFill="1" applyBorder="1" applyAlignment="1">
      <alignment vertical="top"/>
    </xf>
    <xf numFmtId="5" fontId="0" fillId="27" borderId="141" xfId="0" applyNumberFormat="1" applyFill="1" applyBorder="1" applyAlignment="1" applyProtection="1">
      <alignment vertical="center"/>
      <protection locked="0"/>
    </xf>
    <xf numFmtId="5" fontId="0" fillId="27" borderId="4" xfId="0" applyNumberFormat="1" applyFill="1" applyBorder="1" applyAlignment="1" applyProtection="1">
      <alignment vertical="center"/>
      <protection locked="0"/>
    </xf>
    <xf numFmtId="5" fontId="0" fillId="27" borderId="6" xfId="0" applyNumberFormat="1" applyFill="1" applyBorder="1" applyAlignment="1" applyProtection="1">
      <alignment vertical="center"/>
      <protection locked="0"/>
    </xf>
    <xf numFmtId="0" fontId="0" fillId="3" borderId="94" xfId="0" applyFill="1" applyBorder="1" applyAlignment="1">
      <alignment vertical="top"/>
    </xf>
    <xf numFmtId="0" fontId="0" fillId="3" borderId="54" xfId="0" applyFill="1" applyBorder="1" applyAlignment="1">
      <alignment vertical="top"/>
    </xf>
    <xf numFmtId="0" fontId="0" fillId="3" borderId="55" xfId="0" applyFill="1" applyBorder="1" applyAlignment="1">
      <alignment vertical="top"/>
    </xf>
    <xf numFmtId="0" fontId="0" fillId="3" borderId="13" xfId="0" applyFill="1" applyBorder="1" applyAlignment="1">
      <alignment vertical="top"/>
    </xf>
    <xf numFmtId="0" fontId="0" fillId="3" borderId="7" xfId="0" applyFill="1" applyBorder="1" applyAlignment="1">
      <alignment vertical="top"/>
    </xf>
    <xf numFmtId="0" fontId="0" fillId="3" borderId="9" xfId="0" applyFill="1" applyBorder="1" applyAlignment="1">
      <alignment vertical="top"/>
    </xf>
    <xf numFmtId="0" fontId="0" fillId="27" borderId="75" xfId="0" applyFill="1" applyBorder="1" applyAlignment="1" applyProtection="1">
      <alignment vertical="center"/>
    </xf>
    <xf numFmtId="0" fontId="0" fillId="27" borderId="78" xfId="0" applyFill="1" applyBorder="1" applyAlignment="1" applyProtection="1">
      <alignment vertical="center"/>
    </xf>
    <xf numFmtId="0" fontId="0" fillId="3" borderId="3" xfId="0" applyFill="1" applyBorder="1" applyAlignment="1">
      <alignment vertical="center"/>
    </xf>
    <xf numFmtId="0" fontId="0" fillId="7" borderId="94" xfId="0" applyFill="1" applyBorder="1" applyAlignment="1">
      <alignment vertical="top"/>
    </xf>
    <xf numFmtId="0" fontId="0" fillId="7" borderId="54" xfId="0" applyFill="1" applyBorder="1" applyAlignment="1">
      <alignment vertical="top"/>
    </xf>
    <xf numFmtId="0" fontId="0" fillId="7" borderId="55" xfId="0" applyFill="1" applyBorder="1" applyAlignment="1">
      <alignment vertical="top"/>
    </xf>
    <xf numFmtId="0" fontId="0" fillId="7" borderId="13" xfId="0" applyFill="1" applyBorder="1" applyAlignment="1">
      <alignment vertical="top"/>
    </xf>
    <xf numFmtId="0" fontId="0" fillId="7" borderId="7" xfId="0" applyFill="1" applyBorder="1" applyAlignment="1">
      <alignment vertical="top"/>
    </xf>
    <xf numFmtId="0" fontId="0" fillId="7" borderId="9" xfId="0" applyFill="1" applyBorder="1" applyAlignment="1">
      <alignment vertical="top"/>
    </xf>
    <xf numFmtId="0" fontId="0" fillId="7" borderId="126" xfId="0" applyFill="1" applyBorder="1" applyAlignment="1">
      <alignment vertical="center"/>
    </xf>
    <xf numFmtId="0" fontId="0" fillId="27" borderId="70" xfId="0" applyFill="1" applyBorder="1" applyAlignment="1" applyProtection="1">
      <alignment vertical="center"/>
    </xf>
    <xf numFmtId="0" fontId="0" fillId="27" borderId="72" xfId="0" applyFill="1" applyBorder="1" applyAlignment="1" applyProtection="1">
      <alignment vertical="center"/>
    </xf>
    <xf numFmtId="0" fontId="0" fillId="27" borderId="71" xfId="0" applyFill="1" applyBorder="1" applyAlignment="1" applyProtection="1">
      <alignment vertical="center"/>
    </xf>
    <xf numFmtId="0" fontId="0" fillId="27" borderId="73" xfId="0" applyFill="1" applyBorder="1" applyAlignment="1" applyProtection="1">
      <alignment vertical="center"/>
    </xf>
    <xf numFmtId="0" fontId="0" fillId="3" borderId="71" xfId="0" applyFill="1" applyBorder="1" applyAlignment="1">
      <alignment vertical="center"/>
    </xf>
    <xf numFmtId="0" fontId="0" fillId="3" borderId="69" xfId="0" applyFill="1" applyBorder="1" applyAlignment="1">
      <alignment vertical="center"/>
    </xf>
    <xf numFmtId="0" fontId="0" fillId="3" borderId="62" xfId="0" applyFill="1" applyBorder="1" applyAlignment="1">
      <alignment vertical="center"/>
    </xf>
    <xf numFmtId="0" fontId="0" fillId="3" borderId="70" xfId="0" applyFill="1" applyBorder="1" applyAlignment="1">
      <alignment vertical="center"/>
    </xf>
    <xf numFmtId="0" fontId="0" fillId="3" borderId="77" xfId="0" applyFill="1" applyBorder="1" applyAlignment="1">
      <alignment vertical="center"/>
    </xf>
    <xf numFmtId="0" fontId="0" fillId="3" borderId="61" xfId="0" applyFill="1" applyBorder="1" applyAlignment="1">
      <alignment vertical="center"/>
    </xf>
    <xf numFmtId="0" fontId="0" fillId="27" borderId="75" xfId="0" applyFill="1" applyBorder="1" applyAlignment="1">
      <alignment vertical="center"/>
    </xf>
    <xf numFmtId="0" fontId="0" fillId="27" borderId="78" xfId="0" applyFill="1" applyBorder="1" applyAlignment="1">
      <alignment vertical="center"/>
    </xf>
    <xf numFmtId="0" fontId="0" fillId="3" borderId="10" xfId="0" applyFill="1" applyBorder="1" applyAlignment="1">
      <alignment vertical="center"/>
    </xf>
    <xf numFmtId="0" fontId="0" fillId="3" borderId="56" xfId="0" applyFill="1" applyBorder="1" applyAlignment="1">
      <alignment vertical="top"/>
    </xf>
    <xf numFmtId="0" fontId="0" fillId="3" borderId="0" xfId="0" applyFill="1" applyBorder="1" applyAlignment="1">
      <alignment vertical="top"/>
    </xf>
    <xf numFmtId="0" fontId="0" fillId="3" borderId="57" xfId="0" applyFill="1" applyBorder="1" applyAlignment="1">
      <alignment vertical="top"/>
    </xf>
    <xf numFmtId="0" fontId="0" fillId="3" borderId="14" xfId="0" applyFill="1" applyBorder="1" applyAlignment="1">
      <alignment vertical="center"/>
    </xf>
    <xf numFmtId="0" fontId="0" fillId="3" borderId="94" xfId="0" applyFill="1" applyBorder="1" applyAlignment="1">
      <alignment horizontal="center" vertical="top"/>
    </xf>
    <xf numFmtId="0" fontId="0" fillId="3" borderId="54" xfId="0" applyFill="1" applyBorder="1" applyAlignment="1">
      <alignment horizontal="center" vertical="top"/>
    </xf>
    <xf numFmtId="0" fontId="0" fillId="3" borderId="55" xfId="0" applyFill="1" applyBorder="1" applyAlignment="1">
      <alignment horizontal="center" vertical="top"/>
    </xf>
    <xf numFmtId="0" fontId="0" fillId="3" borderId="56" xfId="0" applyFill="1" applyBorder="1" applyAlignment="1">
      <alignment horizontal="center" vertical="top"/>
    </xf>
    <xf numFmtId="0" fontId="0" fillId="3" borderId="0" xfId="0" applyFill="1" applyBorder="1" applyAlignment="1">
      <alignment horizontal="center" vertical="top"/>
    </xf>
    <xf numFmtId="0" fontId="0" fillId="3" borderId="57" xfId="0" applyFill="1" applyBorder="1" applyAlignment="1">
      <alignment horizontal="center" vertical="top"/>
    </xf>
    <xf numFmtId="0" fontId="0" fillId="3" borderId="13" xfId="0" applyFill="1" applyBorder="1" applyAlignment="1">
      <alignment horizontal="center" vertical="top"/>
    </xf>
    <xf numFmtId="0" fontId="0" fillId="3" borderId="7" xfId="0" applyFill="1" applyBorder="1" applyAlignment="1">
      <alignment horizontal="center" vertical="top"/>
    </xf>
    <xf numFmtId="0" fontId="0" fillId="3" borderId="9" xfId="0" applyFill="1" applyBorder="1" applyAlignment="1">
      <alignment horizontal="center" vertical="top"/>
    </xf>
    <xf numFmtId="0" fontId="0" fillId="7" borderId="10" xfId="0" applyFill="1" applyBorder="1" applyAlignment="1" applyProtection="1">
      <alignment vertical="center"/>
      <protection locked="0"/>
    </xf>
    <xf numFmtId="0" fontId="0" fillId="7" borderId="11" xfId="0" applyFill="1" applyBorder="1" applyAlignment="1" applyProtection="1">
      <alignment vertical="center"/>
      <protection locked="0"/>
    </xf>
    <xf numFmtId="0" fontId="0" fillId="7" borderId="12" xfId="0" applyFill="1" applyBorder="1" applyAlignment="1" applyProtection="1">
      <alignment vertical="center"/>
      <protection locked="0"/>
    </xf>
    <xf numFmtId="5" fontId="0" fillId="0" borderId="14" xfId="0" applyNumberFormat="1" applyFill="1" applyBorder="1" applyAlignment="1" applyProtection="1">
      <alignment vertical="center"/>
      <protection locked="0"/>
    </xf>
    <xf numFmtId="5" fontId="0" fillId="0" borderId="15" xfId="0" applyNumberFormat="1" applyFill="1" applyBorder="1" applyAlignment="1" applyProtection="1">
      <alignment vertical="center"/>
      <protection locked="0"/>
    </xf>
    <xf numFmtId="5" fontId="0" fillId="0" borderId="16" xfId="0" applyNumberFormat="1" applyFill="1" applyBorder="1" applyAlignment="1" applyProtection="1">
      <alignment vertical="center"/>
      <protection locked="0"/>
    </xf>
    <xf numFmtId="5" fontId="0" fillId="27" borderId="209" xfId="0" applyNumberFormat="1" applyFill="1" applyBorder="1" applyAlignment="1" applyProtection="1">
      <alignment vertical="center"/>
      <protection locked="0"/>
    </xf>
    <xf numFmtId="5" fontId="0" fillId="27" borderId="133" xfId="0" applyNumberFormat="1" applyFill="1" applyBorder="1" applyAlignment="1" applyProtection="1">
      <alignment vertical="center"/>
      <protection locked="0"/>
    </xf>
    <xf numFmtId="5" fontId="0" fillId="27" borderId="210" xfId="0" applyNumberFormat="1" applyFill="1" applyBorder="1" applyAlignment="1" applyProtection="1">
      <alignment vertical="center"/>
      <protection locked="0"/>
    </xf>
    <xf numFmtId="0" fontId="0" fillId="7" borderId="126" xfId="0" applyFill="1" applyBorder="1" applyAlignment="1" applyProtection="1">
      <alignment vertical="center"/>
      <protection locked="0"/>
    </xf>
    <xf numFmtId="0" fontId="0" fillId="27" borderId="70" xfId="0" applyFill="1" applyBorder="1" applyAlignment="1">
      <alignment vertical="center"/>
    </xf>
    <xf numFmtId="0" fontId="0" fillId="27" borderId="72" xfId="0" applyFill="1" applyBorder="1" applyAlignment="1">
      <alignment vertical="center"/>
    </xf>
    <xf numFmtId="0" fontId="0" fillId="27" borderId="71" xfId="0" applyFill="1" applyBorder="1" applyAlignment="1">
      <alignment vertical="center"/>
    </xf>
    <xf numFmtId="0" fontId="0" fillId="27" borderId="73" xfId="0" applyFill="1" applyBorder="1" applyAlignment="1">
      <alignment vertical="center"/>
    </xf>
    <xf numFmtId="0" fontId="0" fillId="3" borderId="76" xfId="0" applyFill="1" applyBorder="1" applyAlignment="1">
      <alignment vertical="center"/>
    </xf>
    <xf numFmtId="0" fontId="0" fillId="7" borderId="128" xfId="0" applyFill="1" applyBorder="1" applyAlignment="1">
      <alignment vertical="center"/>
    </xf>
    <xf numFmtId="5" fontId="0" fillId="27" borderId="128" xfId="0" applyNumberFormat="1" applyFill="1" applyBorder="1" applyAlignment="1">
      <alignment vertical="center"/>
    </xf>
    <xf numFmtId="0" fontId="0" fillId="7" borderId="76" xfId="0" applyFill="1" applyBorder="1" applyAlignment="1">
      <alignment vertical="center"/>
    </xf>
    <xf numFmtId="0" fontId="0" fillId="7" borderId="125" xfId="0" applyFill="1" applyBorder="1" applyAlignment="1">
      <alignment vertical="center"/>
    </xf>
    <xf numFmtId="5" fontId="0" fillId="27" borderId="25" xfId="0" applyNumberFormat="1" applyFill="1" applyBorder="1" applyAlignment="1" applyProtection="1">
      <alignment vertical="center"/>
      <protection locked="0"/>
    </xf>
    <xf numFmtId="5" fontId="0" fillId="27" borderId="5" xfId="0" applyNumberFormat="1" applyFill="1" applyBorder="1" applyAlignment="1" applyProtection="1">
      <alignment horizontal="right" vertical="center"/>
      <protection locked="0"/>
    </xf>
    <xf numFmtId="0" fontId="0" fillId="27" borderId="4" xfId="0" applyFill="1" applyBorder="1" applyAlignment="1" applyProtection="1">
      <alignment horizontal="right" vertical="center"/>
      <protection locked="0"/>
    </xf>
    <xf numFmtId="0" fontId="0" fillId="27" borderId="79" xfId="0" applyFill="1" applyBorder="1" applyAlignment="1" applyProtection="1">
      <alignment horizontal="right" vertical="center"/>
      <protection locked="0"/>
    </xf>
    <xf numFmtId="5" fontId="0" fillId="23" borderId="14" xfId="0" applyNumberFormat="1" applyFill="1" applyBorder="1" applyAlignment="1" applyProtection="1">
      <alignment vertical="center"/>
      <protection locked="0"/>
    </xf>
    <xf numFmtId="5" fontId="0" fillId="23" borderId="15" xfId="0" applyNumberFormat="1" applyFill="1" applyBorder="1" applyAlignment="1" applyProtection="1">
      <alignment vertical="center"/>
      <protection locked="0"/>
    </xf>
    <xf numFmtId="5" fontId="0" fillId="23" borderId="25" xfId="0" applyNumberFormat="1" applyFill="1" applyBorder="1" applyAlignment="1" applyProtection="1">
      <alignment vertical="center"/>
      <protection locked="0"/>
    </xf>
    <xf numFmtId="5" fontId="0" fillId="23" borderId="129" xfId="0" applyNumberFormat="1" applyFill="1" applyBorder="1" applyAlignment="1" applyProtection="1">
      <alignment vertical="center"/>
      <protection locked="0"/>
    </xf>
    <xf numFmtId="5" fontId="0" fillId="23" borderId="130" xfId="0" applyNumberFormat="1" applyFill="1" applyBorder="1" applyAlignment="1" applyProtection="1">
      <alignment vertical="center"/>
      <protection locked="0"/>
    </xf>
    <xf numFmtId="5" fontId="0" fillId="23" borderId="131" xfId="0" applyNumberFormat="1" applyFill="1" applyBorder="1" applyAlignment="1" applyProtection="1">
      <alignment vertical="center"/>
      <protection locked="0"/>
    </xf>
    <xf numFmtId="0" fontId="43" fillId="3" borderId="68" xfId="0" applyFont="1" applyFill="1" applyBorder="1" applyAlignment="1">
      <alignment vertical="center" wrapText="1"/>
    </xf>
    <xf numFmtId="0" fontId="43" fillId="3" borderId="68" xfId="0" applyFont="1" applyFill="1" applyBorder="1" applyAlignment="1">
      <alignment vertical="center"/>
    </xf>
    <xf numFmtId="206" fontId="43" fillId="0" borderId="68" xfId="0" applyNumberFormat="1" applyFont="1" applyBorder="1" applyAlignment="1">
      <alignment vertical="center"/>
    </xf>
    <xf numFmtId="0" fontId="43" fillId="0" borderId="68" xfId="0" applyNumberFormat="1" applyFont="1" applyBorder="1" applyAlignment="1">
      <alignment horizontal="right" vertical="center"/>
    </xf>
    <xf numFmtId="205" fontId="43" fillId="0" borderId="68" xfId="0" applyNumberFormat="1" applyFont="1" applyBorder="1" applyAlignment="1">
      <alignment vertical="center"/>
    </xf>
    <xf numFmtId="0" fontId="43" fillId="0" borderId="68" xfId="0" applyFont="1" applyBorder="1" applyAlignment="1">
      <alignment vertical="center"/>
    </xf>
    <xf numFmtId="177" fontId="43" fillId="0" borderId="68" xfId="0" applyNumberFormat="1" applyFont="1" applyBorder="1" applyAlignment="1">
      <alignment horizontal="right" vertical="center"/>
    </xf>
    <xf numFmtId="0" fontId="21" fillId="0" borderId="68" xfId="0" applyFont="1" applyBorder="1" applyAlignment="1">
      <alignment vertical="center"/>
    </xf>
    <xf numFmtId="0" fontId="43" fillId="3" borderId="29" xfId="0" applyFont="1" applyFill="1" applyBorder="1" applyAlignment="1">
      <alignment horizontal="left" vertical="center"/>
    </xf>
    <xf numFmtId="0" fontId="43" fillId="3" borderId="25" xfId="0" applyFont="1" applyFill="1" applyBorder="1" applyAlignment="1">
      <alignment horizontal="left" vertical="center"/>
    </xf>
    <xf numFmtId="177" fontId="43" fillId="25" borderId="68" xfId="0" applyNumberFormat="1" applyFont="1" applyFill="1" applyBorder="1" applyAlignment="1">
      <alignment horizontal="right" vertical="center"/>
    </xf>
    <xf numFmtId="0" fontId="43" fillId="3" borderId="68" xfId="0" applyFont="1" applyFill="1" applyBorder="1" applyAlignment="1">
      <alignment horizontal="left" vertical="center"/>
    </xf>
    <xf numFmtId="204" fontId="43" fillId="0" borderId="29" xfId="0" applyNumberFormat="1" applyFont="1" applyBorder="1" applyAlignment="1">
      <alignment horizontal="center" vertical="center"/>
    </xf>
    <xf numFmtId="204" fontId="43" fillId="0" borderId="25" xfId="0" applyNumberFormat="1" applyFont="1" applyBorder="1" applyAlignment="1">
      <alignment horizontal="center" vertical="center"/>
    </xf>
    <xf numFmtId="0" fontId="21" fillId="0" borderId="29" xfId="0" applyFont="1" applyBorder="1" applyAlignment="1">
      <alignment vertical="center"/>
    </xf>
    <xf numFmtId="0" fontId="21" fillId="0" borderId="15" xfId="0" applyFont="1" applyBorder="1" applyAlignment="1">
      <alignment vertical="center"/>
    </xf>
    <xf numFmtId="0" fontId="21" fillId="0" borderId="25" xfId="0" applyFont="1" applyBorder="1" applyAlignment="1">
      <alignment vertical="center"/>
    </xf>
    <xf numFmtId="204" fontId="43" fillId="3" borderId="68" xfId="0" applyNumberFormat="1" applyFont="1" applyFill="1" applyBorder="1" applyAlignment="1">
      <alignment horizontal="center" vertical="center"/>
    </xf>
    <xf numFmtId="0" fontId="0" fillId="0" borderId="68" xfId="0" applyBorder="1">
      <alignment vertical="center"/>
    </xf>
    <xf numFmtId="0" fontId="0" fillId="0" borderId="68" xfId="0" applyBorder="1" applyAlignment="1">
      <alignment vertical="center" wrapText="1"/>
    </xf>
    <xf numFmtId="177" fontId="43" fillId="0" borderId="29" xfId="0" applyNumberFormat="1" applyFont="1" applyBorder="1" applyAlignment="1">
      <alignment horizontal="right" vertical="center"/>
    </xf>
    <xf numFmtId="177" fontId="43" fillId="0" borderId="15" xfId="0" applyNumberFormat="1" applyFont="1" applyBorder="1" applyAlignment="1">
      <alignment horizontal="right" vertical="center"/>
    </xf>
    <xf numFmtId="177" fontId="43" fillId="0" borderId="25" xfId="0" applyNumberFormat="1" applyFont="1" applyBorder="1" applyAlignment="1">
      <alignment horizontal="right" vertical="center"/>
    </xf>
    <xf numFmtId="207" fontId="17" fillId="6" borderId="94" xfId="0" applyNumberFormat="1" applyFont="1" applyFill="1" applyBorder="1" applyAlignment="1">
      <alignment horizontal="center" vertical="center"/>
    </xf>
    <xf numFmtId="207" fontId="17" fillId="6" borderId="54" xfId="0" applyNumberFormat="1" applyFont="1" applyFill="1" applyBorder="1" applyAlignment="1">
      <alignment horizontal="center" vertical="center"/>
    </xf>
    <xf numFmtId="207" fontId="17" fillId="6" borderId="55" xfId="0" applyNumberFormat="1" applyFont="1" applyFill="1" applyBorder="1" applyAlignment="1">
      <alignment horizontal="center" vertical="center"/>
    </xf>
    <xf numFmtId="207" fontId="17" fillId="6" borderId="70" xfId="0" applyNumberFormat="1" applyFont="1" applyFill="1" applyBorder="1" applyAlignment="1">
      <alignment horizontal="center" vertical="center" wrapText="1"/>
    </xf>
    <xf numFmtId="207" fontId="17" fillId="6" borderId="77" xfId="0" applyNumberFormat="1" applyFont="1" applyFill="1" applyBorder="1" applyAlignment="1">
      <alignment horizontal="center" vertical="center"/>
    </xf>
    <xf numFmtId="207" fontId="17" fillId="6" borderId="72" xfId="0" applyNumberFormat="1" applyFont="1" applyFill="1" applyBorder="1" applyAlignment="1">
      <alignment horizontal="center" vertical="center"/>
    </xf>
    <xf numFmtId="0" fontId="43" fillId="3" borderId="29" xfId="0" applyFont="1" applyFill="1" applyBorder="1" applyAlignment="1">
      <alignment vertical="center"/>
    </xf>
    <xf numFmtId="0" fontId="43" fillId="3" borderId="25" xfId="0" applyFont="1" applyFill="1" applyBorder="1" applyAlignment="1">
      <alignment vertical="center"/>
    </xf>
    <xf numFmtId="0" fontId="43" fillId="25" borderId="29" xfId="0" applyFont="1" applyFill="1" applyBorder="1" applyAlignment="1">
      <alignment vertical="center"/>
    </xf>
    <xf numFmtId="0" fontId="43" fillId="25" borderId="25" xfId="0" applyFont="1" applyFill="1" applyBorder="1" applyAlignment="1">
      <alignment vertical="center"/>
    </xf>
    <xf numFmtId="207" fontId="43" fillId="8" borderId="70" xfId="0" applyNumberFormat="1" applyFont="1" applyFill="1" applyBorder="1" applyAlignment="1">
      <alignment vertical="center"/>
    </xf>
    <xf numFmtId="207" fontId="43" fillId="8" borderId="77" xfId="0" applyNumberFormat="1" applyFont="1" applyFill="1" applyBorder="1" applyAlignment="1">
      <alignment vertical="center"/>
    </xf>
    <xf numFmtId="207" fontId="43" fillId="8" borderId="72" xfId="0" applyNumberFormat="1" applyFont="1" applyFill="1" applyBorder="1" applyAlignment="1">
      <alignment vertical="center"/>
    </xf>
    <xf numFmtId="207" fontId="20" fillId="0" borderId="10" xfId="0" applyNumberFormat="1" applyFont="1" applyBorder="1" applyAlignment="1">
      <alignment horizontal="center" vertical="center"/>
    </xf>
    <xf numFmtId="207" fontId="20" fillId="0" borderId="11" xfId="0" applyNumberFormat="1" applyFont="1" applyBorder="1" applyAlignment="1">
      <alignment horizontal="center" vertical="center"/>
    </xf>
    <xf numFmtId="207" fontId="20" fillId="0" borderId="12" xfId="0" applyNumberFormat="1" applyFont="1" applyBorder="1" applyAlignment="1">
      <alignment horizontal="center" vertical="center"/>
    </xf>
    <xf numFmtId="186" fontId="43" fillId="8" borderId="216" xfId="0" applyNumberFormat="1" applyFont="1" applyFill="1" applyBorder="1" applyAlignment="1">
      <alignment horizontal="left" vertical="center"/>
    </xf>
    <xf numFmtId="0" fontId="43" fillId="8" borderId="217" xfId="0" applyFont="1" applyFill="1" applyBorder="1">
      <alignment vertical="center"/>
    </xf>
    <xf numFmtId="186" fontId="43" fillId="11" borderId="220" xfId="0" applyNumberFormat="1" applyFont="1" applyFill="1" applyBorder="1" applyAlignment="1">
      <alignment horizontal="left" vertical="center"/>
    </xf>
    <xf numFmtId="0" fontId="43" fillId="11" borderId="221" xfId="0" applyFont="1" applyFill="1" applyBorder="1">
      <alignment vertical="center"/>
    </xf>
    <xf numFmtId="207" fontId="43" fillId="8" borderId="74" xfId="0" applyNumberFormat="1" applyFont="1" applyFill="1" applyBorder="1" applyAlignment="1">
      <alignment vertical="center"/>
    </xf>
    <xf numFmtId="207" fontId="43" fillId="8" borderId="68" xfId="0" applyNumberFormat="1" applyFont="1" applyFill="1" applyBorder="1" applyAlignment="1">
      <alignment vertical="center"/>
    </xf>
    <xf numFmtId="207" fontId="43" fillId="8" borderId="76" xfId="0" applyNumberFormat="1" applyFont="1" applyFill="1" applyBorder="1" applyAlignment="1">
      <alignment vertical="center"/>
    </xf>
    <xf numFmtId="0" fontId="37" fillId="0" borderId="0" xfId="0" applyFont="1" applyFill="1" applyBorder="1" applyAlignment="1">
      <alignment horizontal="left" vertical="center"/>
    </xf>
    <xf numFmtId="207" fontId="43" fillId="8" borderId="71" xfId="0" applyNumberFormat="1" applyFont="1" applyFill="1" applyBorder="1" applyAlignment="1">
      <alignment vertical="center"/>
    </xf>
    <xf numFmtId="207" fontId="43" fillId="8" borderId="69" xfId="0" applyNumberFormat="1" applyFont="1" applyFill="1" applyBorder="1" applyAlignment="1">
      <alignment vertical="center"/>
    </xf>
    <xf numFmtId="207" fontId="43" fillId="8" borderId="73" xfId="0" applyNumberFormat="1" applyFont="1" applyFill="1" applyBorder="1" applyAlignment="1">
      <alignment vertical="center"/>
    </xf>
    <xf numFmtId="207" fontId="43" fillId="25" borderId="70" xfId="0" applyNumberFormat="1" applyFont="1" applyFill="1" applyBorder="1" applyAlignment="1">
      <alignment vertical="center"/>
    </xf>
    <xf numFmtId="207" fontId="43" fillId="25" borderId="77" xfId="0" applyNumberFormat="1" applyFont="1" applyFill="1" applyBorder="1" applyAlignment="1">
      <alignment vertical="center"/>
    </xf>
    <xf numFmtId="207" fontId="43" fillId="25" borderId="72" xfId="0" applyNumberFormat="1" applyFont="1" applyFill="1" applyBorder="1" applyAlignment="1">
      <alignment vertical="center"/>
    </xf>
    <xf numFmtId="207" fontId="43" fillId="25" borderId="74" xfId="0" applyNumberFormat="1" applyFont="1" applyFill="1" applyBorder="1" applyAlignment="1">
      <alignment vertical="center"/>
    </xf>
    <xf numFmtId="207" fontId="43" fillId="25" borderId="68" xfId="0" applyNumberFormat="1" applyFont="1" applyFill="1" applyBorder="1" applyAlignment="1">
      <alignment vertical="center"/>
    </xf>
    <xf numFmtId="207" fontId="43" fillId="25" borderId="76" xfId="0" applyNumberFormat="1" applyFont="1" applyFill="1" applyBorder="1" applyAlignment="1">
      <alignment vertical="center"/>
    </xf>
    <xf numFmtId="207" fontId="43" fillId="25" borderId="71" xfId="0" applyNumberFormat="1" applyFont="1" applyFill="1" applyBorder="1" applyAlignment="1">
      <alignment vertical="center"/>
    </xf>
    <xf numFmtId="207" fontId="43" fillId="25" borderId="69" xfId="0" applyNumberFormat="1" applyFont="1" applyFill="1" applyBorder="1" applyAlignment="1">
      <alignment vertical="center"/>
    </xf>
    <xf numFmtId="207" fontId="43" fillId="25" borderId="73" xfId="0" applyNumberFormat="1" applyFont="1" applyFill="1" applyBorder="1" applyAlignment="1">
      <alignment vertical="center"/>
    </xf>
    <xf numFmtId="0" fontId="37" fillId="25" borderId="0" xfId="0" applyFont="1" applyFill="1" applyBorder="1" applyAlignment="1">
      <alignment horizontal="center" vertical="center"/>
    </xf>
    <xf numFmtId="186" fontId="43" fillId="25" borderId="220" xfId="0" applyNumberFormat="1" applyFont="1" applyFill="1" applyBorder="1" applyAlignment="1">
      <alignment horizontal="left" vertical="center"/>
    </xf>
    <xf numFmtId="0" fontId="43" fillId="25" borderId="221" xfId="0" applyFont="1" applyFill="1" applyBorder="1">
      <alignment vertical="center"/>
    </xf>
    <xf numFmtId="207" fontId="20" fillId="0" borderId="94" xfId="0" applyNumberFormat="1" applyFont="1" applyBorder="1" applyAlignment="1">
      <alignment horizontal="center" vertical="center"/>
    </xf>
    <xf numFmtId="207" fontId="20" fillId="0" borderId="54" xfId="0" applyNumberFormat="1" applyFont="1" applyBorder="1" applyAlignment="1">
      <alignment horizontal="center" vertical="center"/>
    </xf>
    <xf numFmtId="207" fontId="20" fillId="0" borderId="55" xfId="0" applyNumberFormat="1" applyFont="1" applyBorder="1" applyAlignment="1">
      <alignment horizontal="center" vertical="center"/>
    </xf>
    <xf numFmtId="204" fontId="43" fillId="3" borderId="68" xfId="0" applyNumberFormat="1" applyFont="1" applyFill="1" applyBorder="1" applyAlignment="1">
      <alignment vertical="center"/>
    </xf>
    <xf numFmtId="0" fontId="43" fillId="25" borderId="29" xfId="0" applyFont="1" applyFill="1" applyBorder="1" applyAlignment="1">
      <alignment horizontal="left" vertical="center"/>
    </xf>
    <xf numFmtId="0" fontId="43" fillId="25" borderId="25" xfId="0" applyFont="1" applyFill="1" applyBorder="1" applyAlignment="1">
      <alignment horizontal="left" vertical="center"/>
    </xf>
    <xf numFmtId="0" fontId="43" fillId="25" borderId="68" xfId="0" applyFont="1" applyFill="1" applyBorder="1" applyAlignment="1">
      <alignment vertical="center" wrapText="1"/>
    </xf>
    <xf numFmtId="0" fontId="43" fillId="25" borderId="68" xfId="0" applyFont="1" applyFill="1" applyBorder="1" applyAlignment="1">
      <alignment vertical="center"/>
    </xf>
    <xf numFmtId="204" fontId="43" fillId="25" borderId="68" xfId="0" applyNumberFormat="1" applyFont="1" applyFill="1" applyBorder="1" applyAlignment="1">
      <alignment vertical="center"/>
    </xf>
    <xf numFmtId="186" fontId="43" fillId="8" borderId="214" xfId="0" applyNumberFormat="1" applyFont="1" applyFill="1" applyBorder="1" applyAlignment="1">
      <alignment horizontal="left" vertical="center"/>
    </xf>
    <xf numFmtId="0" fontId="43" fillId="8" borderId="215" xfId="0" applyFont="1" applyFill="1" applyBorder="1">
      <alignment vertical="center"/>
    </xf>
    <xf numFmtId="186" fontId="43" fillId="8" borderId="218" xfId="0" applyNumberFormat="1" applyFont="1" applyFill="1" applyBorder="1" applyAlignment="1">
      <alignment horizontal="left" vertical="center"/>
    </xf>
    <xf numFmtId="0" fontId="43" fillId="8" borderId="219" xfId="0" applyFont="1" applyFill="1" applyBorder="1">
      <alignment vertical="center"/>
    </xf>
    <xf numFmtId="0" fontId="37" fillId="0" borderId="0" xfId="0" applyFont="1" applyFill="1" applyBorder="1" applyAlignment="1">
      <alignment horizontal="center" vertical="center"/>
    </xf>
    <xf numFmtId="0" fontId="21" fillId="25" borderId="68" xfId="0" applyFont="1" applyFill="1" applyBorder="1" applyAlignment="1">
      <alignment vertical="center"/>
    </xf>
    <xf numFmtId="206" fontId="43" fillId="0" borderId="29" xfId="0" applyNumberFormat="1" applyFont="1" applyBorder="1" applyAlignment="1">
      <alignment vertical="center"/>
    </xf>
    <xf numFmtId="206" fontId="43" fillId="0" borderId="15" xfId="0" applyNumberFormat="1" applyFont="1" applyBorder="1" applyAlignment="1">
      <alignment vertical="center"/>
    </xf>
    <xf numFmtId="206" fontId="43" fillId="0" borderId="25" xfId="0" applyNumberFormat="1" applyFont="1" applyBorder="1" applyAlignment="1">
      <alignment vertical="center"/>
    </xf>
    <xf numFmtId="206" fontId="43" fillId="25" borderId="68" xfId="0" applyNumberFormat="1" applyFont="1" applyFill="1" applyBorder="1" applyAlignment="1">
      <alignment vertical="center"/>
    </xf>
    <xf numFmtId="0" fontId="43" fillId="25" borderId="68" xfId="0" applyNumberFormat="1" applyFont="1" applyFill="1" applyBorder="1" applyAlignment="1">
      <alignment horizontal="right" vertical="center"/>
    </xf>
    <xf numFmtId="0" fontId="43" fillId="0" borderId="29" xfId="0" applyFont="1" applyBorder="1" applyAlignment="1">
      <alignment vertical="center"/>
    </xf>
    <xf numFmtId="0" fontId="43" fillId="0" borderId="15" xfId="0" applyFont="1" applyBorder="1" applyAlignment="1">
      <alignment vertical="center"/>
    </xf>
    <xf numFmtId="0" fontId="43" fillId="0" borderId="25" xfId="0" applyFont="1" applyBorder="1" applyAlignment="1">
      <alignment vertical="center"/>
    </xf>
    <xf numFmtId="205" fontId="43" fillId="0" borderId="29" xfId="0" applyNumberFormat="1" applyFont="1" applyBorder="1" applyAlignment="1">
      <alignment vertical="center"/>
    </xf>
    <xf numFmtId="205" fontId="43" fillId="0" borderId="15" xfId="0" applyNumberFormat="1" applyFont="1" applyBorder="1" applyAlignment="1">
      <alignment vertical="center"/>
    </xf>
    <xf numFmtId="205" fontId="43" fillId="0" borderId="25" xfId="0" applyNumberFormat="1" applyFont="1" applyBorder="1" applyAlignment="1">
      <alignment vertical="center"/>
    </xf>
    <xf numFmtId="0" fontId="43" fillId="0" borderId="29" xfId="0" applyNumberFormat="1" applyFont="1" applyBorder="1" applyAlignment="1">
      <alignment horizontal="right" vertical="center"/>
    </xf>
    <xf numFmtId="0" fontId="43" fillId="0" borderId="15" xfId="0" applyNumberFormat="1" applyFont="1" applyBorder="1" applyAlignment="1">
      <alignment horizontal="right" vertical="center"/>
    </xf>
    <xf numFmtId="0" fontId="43" fillId="0" borderId="25" xfId="0" applyNumberFormat="1" applyFont="1" applyBorder="1" applyAlignment="1">
      <alignment horizontal="right" vertical="center"/>
    </xf>
    <xf numFmtId="205" fontId="43" fillId="25" borderId="68" xfId="0" applyNumberFormat="1" applyFont="1" applyFill="1" applyBorder="1" applyAlignment="1">
      <alignment vertical="center"/>
    </xf>
    <xf numFmtId="204" fontId="43" fillId="25" borderId="29" xfId="0" applyNumberFormat="1" applyFont="1" applyFill="1" applyBorder="1" applyAlignment="1">
      <alignment horizontal="center" vertical="center"/>
    </xf>
    <xf numFmtId="204" fontId="43" fillId="25" borderId="25" xfId="0" applyNumberFormat="1" applyFont="1" applyFill="1" applyBorder="1" applyAlignment="1">
      <alignment horizontal="center" vertical="center"/>
    </xf>
    <xf numFmtId="0" fontId="43" fillId="25" borderId="68" xfId="0" applyFont="1" applyFill="1" applyBorder="1" applyAlignment="1">
      <alignment horizontal="left" vertical="center"/>
    </xf>
    <xf numFmtId="186" fontId="43" fillId="25" borderId="218" xfId="0" applyNumberFormat="1" applyFont="1" applyFill="1" applyBorder="1" applyAlignment="1">
      <alignment horizontal="left" vertical="center"/>
    </xf>
    <xf numFmtId="0" fontId="43" fillId="25" borderId="219" xfId="0" applyFont="1" applyFill="1" applyBorder="1">
      <alignment vertical="center"/>
    </xf>
    <xf numFmtId="186" fontId="43" fillId="25" borderId="214" xfId="0" applyNumberFormat="1" applyFont="1" applyFill="1" applyBorder="1" applyAlignment="1">
      <alignment horizontal="left" vertical="center"/>
    </xf>
    <xf numFmtId="0" fontId="43" fillId="25" borderId="215" xfId="0" applyFont="1" applyFill="1" applyBorder="1">
      <alignment vertical="center"/>
    </xf>
    <xf numFmtId="186" fontId="43" fillId="25" borderId="216" xfId="0" applyNumberFormat="1" applyFont="1" applyFill="1" applyBorder="1" applyAlignment="1">
      <alignment horizontal="left" vertical="center"/>
    </xf>
    <xf numFmtId="0" fontId="43" fillId="25" borderId="217" xfId="0" applyFont="1" applyFill="1" applyBorder="1">
      <alignment vertical="center"/>
    </xf>
    <xf numFmtId="207" fontId="20" fillId="25" borderId="10" xfId="0" applyNumberFormat="1" applyFont="1" applyFill="1" applyBorder="1" applyAlignment="1">
      <alignment horizontal="center" vertical="center"/>
    </xf>
    <xf numFmtId="207" fontId="20" fillId="25" borderId="11" xfId="0" applyNumberFormat="1" applyFont="1" applyFill="1" applyBorder="1" applyAlignment="1">
      <alignment horizontal="center" vertical="center"/>
    </xf>
    <xf numFmtId="207" fontId="20" fillId="25" borderId="12" xfId="0" applyNumberFormat="1" applyFont="1" applyFill="1" applyBorder="1" applyAlignment="1">
      <alignment horizontal="center" vertical="center"/>
    </xf>
    <xf numFmtId="0" fontId="37" fillId="25" borderId="0" xfId="0" applyFont="1" applyFill="1" applyBorder="1" applyAlignment="1">
      <alignment horizontal="left" vertical="center"/>
    </xf>
    <xf numFmtId="9" fontId="8" fillId="0" borderId="136" xfId="0" applyNumberFormat="1" applyFont="1" applyFill="1" applyBorder="1" applyAlignment="1">
      <alignment vertical="center"/>
    </xf>
    <xf numFmtId="9" fontId="8" fillId="0" borderId="138" xfId="0" applyNumberFormat="1" applyFont="1" applyFill="1" applyBorder="1" applyAlignment="1">
      <alignment vertical="center"/>
    </xf>
    <xf numFmtId="177" fontId="8" fillId="0" borderId="82" xfId="0" applyNumberFormat="1" applyFont="1" applyFill="1" applyBorder="1" applyAlignment="1">
      <alignment vertical="center"/>
    </xf>
    <xf numFmtId="177" fontId="8" fillId="0" borderId="140" xfId="0" applyNumberFormat="1" applyFont="1" applyFill="1" applyBorder="1" applyAlignment="1">
      <alignment vertical="center"/>
    </xf>
    <xf numFmtId="9" fontId="8" fillId="0" borderId="139" xfId="0" applyNumberFormat="1" applyFont="1" applyFill="1" applyBorder="1" applyAlignment="1">
      <alignment vertical="center"/>
    </xf>
    <xf numFmtId="9" fontId="8" fillId="0" borderId="140" xfId="0" applyNumberFormat="1" applyFont="1" applyFill="1" applyBorder="1" applyAlignment="1">
      <alignment vertical="center"/>
    </xf>
    <xf numFmtId="177" fontId="8" fillId="0" borderId="129" xfId="0" applyNumberFormat="1" applyFont="1" applyFill="1" applyBorder="1" applyAlignment="1">
      <alignment horizontal="right" vertical="center"/>
    </xf>
    <xf numFmtId="177" fontId="8" fillId="0" borderId="131" xfId="0" applyNumberFormat="1" applyFont="1" applyFill="1" applyBorder="1" applyAlignment="1">
      <alignment horizontal="right" vertical="center"/>
    </xf>
    <xf numFmtId="9" fontId="8" fillId="0" borderId="129" xfId="0" applyNumberFormat="1" applyFont="1" applyFill="1" applyBorder="1" applyAlignment="1">
      <alignment horizontal="right" vertical="center"/>
    </xf>
    <xf numFmtId="9" fontId="8" fillId="0" borderId="131" xfId="0" applyNumberFormat="1" applyFont="1" applyFill="1" applyBorder="1" applyAlignment="1">
      <alignment horizontal="right" vertical="center"/>
    </xf>
    <xf numFmtId="182" fontId="8" fillId="6" borderId="162" xfId="0" applyNumberFormat="1" applyFont="1" applyFill="1" applyBorder="1" applyAlignment="1">
      <alignment vertical="center"/>
    </xf>
    <xf numFmtId="182" fontId="8" fillId="6" borderId="163" xfId="0" applyNumberFormat="1" applyFont="1" applyFill="1" applyBorder="1" applyAlignment="1">
      <alignment vertical="center"/>
    </xf>
    <xf numFmtId="178" fontId="8" fillId="0" borderId="129" xfId="0" applyNumberFormat="1" applyFont="1" applyFill="1" applyBorder="1" applyAlignment="1">
      <alignment vertical="center"/>
    </xf>
    <xf numFmtId="178" fontId="8" fillId="0" borderId="131" xfId="0" applyNumberFormat="1" applyFont="1" applyFill="1" applyBorder="1" applyAlignment="1">
      <alignment vertical="center"/>
    </xf>
    <xf numFmtId="177" fontId="8" fillId="0" borderId="222" xfId="0" applyNumberFormat="1" applyFont="1" applyFill="1" applyBorder="1" applyAlignment="1">
      <alignment vertical="center"/>
    </xf>
    <xf numFmtId="177" fontId="8" fillId="0" borderId="138" xfId="0" applyNumberFormat="1" applyFont="1" applyFill="1" applyBorder="1" applyAlignment="1">
      <alignment vertical="center"/>
    </xf>
    <xf numFmtId="9" fontId="8" fillId="0" borderId="129" xfId="0" applyNumberFormat="1" applyFont="1" applyFill="1" applyBorder="1" applyAlignment="1">
      <alignment vertical="center"/>
    </xf>
    <xf numFmtId="9" fontId="8" fillId="0" borderId="131" xfId="0" applyNumberFormat="1" applyFont="1" applyFill="1" applyBorder="1" applyAlignment="1">
      <alignment vertical="center"/>
    </xf>
    <xf numFmtId="185" fontId="8" fillId="0" borderId="223" xfId="0" applyNumberFormat="1" applyFont="1" applyFill="1" applyBorder="1" applyAlignment="1">
      <alignment vertical="center"/>
    </xf>
    <xf numFmtId="185" fontId="8" fillId="0" borderId="224" xfId="0" applyNumberFormat="1" applyFont="1" applyFill="1" applyBorder="1" applyAlignment="1">
      <alignment vertical="center"/>
    </xf>
    <xf numFmtId="0" fontId="8" fillId="0" borderId="129" xfId="0" applyNumberFormat="1" applyFont="1" applyFill="1" applyBorder="1" applyAlignment="1">
      <alignment vertical="center"/>
    </xf>
    <xf numFmtId="0" fontId="8" fillId="0" borderId="131" xfId="0" applyNumberFormat="1" applyFont="1" applyFill="1" applyBorder="1" applyAlignment="1">
      <alignment vertical="center"/>
    </xf>
    <xf numFmtId="177" fontId="8" fillId="0" borderId="146" xfId="0" applyNumberFormat="1" applyFont="1" applyFill="1" applyBorder="1" applyAlignment="1">
      <alignment horizontal="right" vertical="center"/>
    </xf>
    <xf numFmtId="177" fontId="8" fillId="0" borderId="148" xfId="0" applyNumberFormat="1" applyFont="1" applyFill="1" applyBorder="1" applyAlignment="1">
      <alignment horizontal="right" vertical="center"/>
    </xf>
    <xf numFmtId="178" fontId="8" fillId="0" borderId="146" xfId="0" applyNumberFormat="1" applyFont="1" applyFill="1" applyBorder="1" applyAlignment="1">
      <alignment vertical="center"/>
    </xf>
    <xf numFmtId="178" fontId="8" fillId="0" borderId="148" xfId="0" applyNumberFormat="1" applyFont="1" applyFill="1" applyBorder="1" applyAlignment="1">
      <alignment vertical="center"/>
    </xf>
    <xf numFmtId="177" fontId="8" fillId="16" borderId="129" xfId="0" applyNumberFormat="1" applyFont="1" applyFill="1" applyBorder="1" applyAlignment="1">
      <alignment horizontal="right" vertical="center"/>
    </xf>
    <xf numFmtId="177" fontId="8" fillId="16" borderId="131" xfId="0" applyNumberFormat="1" applyFont="1" applyFill="1" applyBorder="1" applyAlignment="1">
      <alignment horizontal="right" vertical="center"/>
    </xf>
    <xf numFmtId="178" fontId="8" fillId="0" borderId="146" xfId="0" applyNumberFormat="1" applyFont="1" applyFill="1" applyBorder="1" applyAlignment="1">
      <alignment horizontal="right" vertical="center"/>
    </xf>
    <xf numFmtId="178" fontId="8" fillId="0" borderId="148" xfId="0" applyNumberFormat="1" applyFont="1" applyFill="1" applyBorder="1" applyAlignment="1">
      <alignment horizontal="right" vertical="center"/>
    </xf>
    <xf numFmtId="182" fontId="8" fillId="6" borderId="8" xfId="0" applyNumberFormat="1" applyFont="1" applyFill="1" applyBorder="1" applyAlignment="1">
      <alignment horizontal="right" vertical="center"/>
    </xf>
    <xf numFmtId="182" fontId="8" fillId="6" borderId="123" xfId="0" applyNumberFormat="1" applyFont="1" applyFill="1" applyBorder="1" applyAlignment="1">
      <alignment horizontal="right" vertical="center"/>
    </xf>
    <xf numFmtId="177" fontId="8" fillId="6" borderId="162" xfId="0" applyNumberFormat="1" applyFont="1" applyFill="1" applyBorder="1" applyAlignment="1">
      <alignment horizontal="right" vertical="center"/>
    </xf>
    <xf numFmtId="177" fontId="8" fillId="6" borderId="163" xfId="0" applyNumberFormat="1" applyFont="1" applyFill="1" applyBorder="1" applyAlignment="1">
      <alignment horizontal="right" vertical="center"/>
    </xf>
    <xf numFmtId="178" fontId="8" fillId="0" borderId="129" xfId="0" applyNumberFormat="1" applyFont="1" applyFill="1" applyBorder="1" applyAlignment="1">
      <alignment horizontal="right" vertical="center"/>
    </xf>
    <xf numFmtId="178" fontId="8" fillId="0" borderId="131" xfId="0" applyNumberFormat="1" applyFont="1" applyFill="1" applyBorder="1" applyAlignment="1">
      <alignment horizontal="right" vertical="center"/>
    </xf>
    <xf numFmtId="178" fontId="8" fillId="0" borderId="160" xfId="0" applyNumberFormat="1" applyFont="1" applyFill="1" applyBorder="1" applyAlignment="1">
      <alignment horizontal="right" vertical="center"/>
    </xf>
    <xf numFmtId="178" fontId="8" fillId="0" borderId="161" xfId="0" applyNumberFormat="1" applyFont="1" applyFill="1" applyBorder="1" applyAlignment="1">
      <alignment horizontal="right" vertical="center"/>
    </xf>
    <xf numFmtId="182" fontId="8" fillId="6" borderId="162" xfId="0" applyNumberFormat="1" applyFont="1" applyFill="1" applyBorder="1" applyAlignment="1">
      <alignment horizontal="right" vertical="center"/>
    </xf>
    <xf numFmtId="182" fontId="8" fillId="6" borderId="163" xfId="0" applyNumberFormat="1" applyFont="1" applyFill="1" applyBorder="1" applyAlignment="1">
      <alignment horizontal="right" vertical="center"/>
    </xf>
    <xf numFmtId="0" fontId="8" fillId="0" borderId="129" xfId="0" applyFont="1" applyFill="1" applyBorder="1" applyAlignment="1">
      <alignment horizontal="right" vertical="center"/>
    </xf>
    <xf numFmtId="0" fontId="8" fillId="0" borderId="131" xfId="0" applyFont="1" applyFill="1" applyBorder="1" applyAlignment="1">
      <alignment horizontal="right" vertical="center"/>
    </xf>
    <xf numFmtId="177" fontId="8" fillId="0" borderId="136" xfId="0" applyNumberFormat="1" applyFont="1" applyFill="1" applyBorder="1" applyAlignment="1">
      <alignment vertical="center"/>
    </xf>
    <xf numFmtId="9" fontId="8" fillId="0" borderId="146" xfId="0" applyNumberFormat="1" applyFont="1" applyFill="1" applyBorder="1" applyAlignment="1">
      <alignment vertical="center"/>
    </xf>
    <xf numFmtId="9" fontId="8" fillId="0" borderId="148" xfId="0" applyNumberFormat="1" applyFont="1" applyFill="1" applyBorder="1" applyAlignment="1">
      <alignment vertical="center"/>
    </xf>
    <xf numFmtId="218" fontId="0" fillId="0" borderId="0" xfId="0" applyNumberFormat="1" applyAlignment="1">
      <alignment horizontal="right" vertical="center"/>
    </xf>
    <xf numFmtId="218" fontId="0" fillId="0" borderId="41" xfId="0" applyNumberFormat="1" applyBorder="1" applyAlignment="1">
      <alignment horizontal="right" vertical="center"/>
    </xf>
    <xf numFmtId="5" fontId="31" fillId="0" borderId="68" xfId="2" applyNumberFormat="1" applyFont="1" applyBorder="1" applyAlignment="1">
      <alignment vertical="center"/>
    </xf>
    <xf numFmtId="190" fontId="31" fillId="0" borderId="68" xfId="2" applyNumberFormat="1" applyFont="1" applyBorder="1" applyAlignment="1"/>
    <xf numFmtId="190" fontId="31" fillId="0" borderId="69" xfId="2" applyNumberFormat="1" applyFont="1" applyBorder="1" applyAlignment="1"/>
    <xf numFmtId="189" fontId="7" fillId="0" borderId="68" xfId="2" applyNumberFormat="1" applyFont="1" applyBorder="1" applyAlignment="1">
      <alignment horizontal="right"/>
    </xf>
    <xf numFmtId="5" fontId="1" fillId="0" borderId="68" xfId="2" applyNumberFormat="1" applyBorder="1" applyAlignment="1">
      <alignment vertical="center"/>
    </xf>
    <xf numFmtId="5" fontId="1" fillId="0" borderId="76" xfId="2" applyNumberFormat="1" applyBorder="1" applyAlignment="1">
      <alignment vertical="center"/>
    </xf>
    <xf numFmtId="190" fontId="31" fillId="25" borderId="68" xfId="2" applyNumberFormat="1" applyFont="1" applyFill="1" applyBorder="1" applyAlignment="1"/>
    <xf numFmtId="0" fontId="30" fillId="8" borderId="74" xfId="2" applyFont="1" applyFill="1" applyBorder="1" applyAlignment="1">
      <alignment vertical="top"/>
    </xf>
    <xf numFmtId="0" fontId="30" fillId="8" borderId="68" xfId="2" applyFont="1" applyFill="1" applyBorder="1" applyAlignment="1">
      <alignment vertical="top"/>
    </xf>
    <xf numFmtId="190" fontId="31" fillId="0" borderId="77" xfId="2" applyNumberFormat="1" applyFont="1" applyBorder="1" applyAlignment="1"/>
    <xf numFmtId="0" fontId="27" fillId="17" borderId="66" xfId="2" applyFont="1" applyFill="1" applyBorder="1" applyAlignment="1">
      <alignment horizontal="center" vertical="center" wrapText="1"/>
    </xf>
    <xf numFmtId="0" fontId="27" fillId="17" borderId="225" xfId="2" applyFont="1" applyFill="1" applyBorder="1" applyAlignment="1">
      <alignment horizontal="center" vertical="center" wrapText="1"/>
    </xf>
    <xf numFmtId="229" fontId="1" fillId="0" borderId="77" xfId="2" applyNumberFormat="1" applyBorder="1" applyAlignment="1">
      <alignment vertical="center"/>
    </xf>
    <xf numFmtId="229" fontId="1" fillId="0" borderId="72" xfId="2" applyNumberFormat="1" applyBorder="1" applyAlignment="1">
      <alignment vertical="center"/>
    </xf>
    <xf numFmtId="229" fontId="1" fillId="0" borderId="68" xfId="2" applyNumberFormat="1" applyBorder="1" applyAlignment="1">
      <alignment vertical="center"/>
    </xf>
    <xf numFmtId="229" fontId="1" fillId="0" borderId="76" xfId="2" applyNumberFormat="1" applyBorder="1" applyAlignment="1">
      <alignment vertical="center"/>
    </xf>
    <xf numFmtId="229" fontId="31" fillId="0" borderId="77" xfId="2" applyNumberFormat="1" applyFont="1" applyBorder="1" applyAlignment="1">
      <alignment vertical="center"/>
    </xf>
    <xf numFmtId="197" fontId="31" fillId="0" borderId="77" xfId="2" applyNumberFormat="1" applyFont="1" applyBorder="1" applyAlignment="1">
      <alignment vertical="center"/>
    </xf>
    <xf numFmtId="197" fontId="31" fillId="0" borderId="68" xfId="2" applyNumberFormat="1" applyFont="1" applyBorder="1" applyAlignment="1">
      <alignment vertical="center"/>
    </xf>
    <xf numFmtId="229" fontId="31" fillId="0" borderId="68" xfId="2" applyNumberFormat="1" applyFont="1" applyBorder="1" applyAlignment="1">
      <alignment vertical="center"/>
    </xf>
    <xf numFmtId="176" fontId="29" fillId="19" borderId="128" xfId="2" applyNumberFormat="1" applyFont="1" applyFill="1" applyBorder="1" applyAlignment="1">
      <alignment vertical="center"/>
    </xf>
    <xf numFmtId="193" fontId="1" fillId="0" borderId="128" xfId="2" applyNumberFormat="1" applyBorder="1" applyAlignment="1">
      <alignment vertical="center"/>
    </xf>
    <xf numFmtId="191" fontId="1" fillId="0" borderId="128" xfId="2" applyNumberFormat="1" applyBorder="1" applyAlignment="1">
      <alignment vertical="center"/>
    </xf>
    <xf numFmtId="203" fontId="1" fillId="0" borderId="128" xfId="2" applyNumberFormat="1" applyFont="1" applyBorder="1" applyAlignment="1">
      <alignment vertical="center"/>
    </xf>
    <xf numFmtId="0" fontId="27" fillId="18" borderId="68" xfId="2" applyFont="1" applyFill="1" applyBorder="1" applyAlignment="1">
      <alignment horizontal="center" vertical="center" wrapText="1"/>
    </xf>
    <xf numFmtId="0" fontId="27" fillId="18" borderId="76" xfId="2" applyFont="1" applyFill="1" applyBorder="1" applyAlignment="1">
      <alignment horizontal="center" vertical="center" wrapText="1"/>
    </xf>
    <xf numFmtId="0" fontId="30" fillId="8" borderId="70" xfId="2" applyFont="1" applyFill="1" applyBorder="1" applyAlignment="1">
      <alignment vertical="top"/>
    </xf>
    <xf numFmtId="0" fontId="30" fillId="8" borderId="77" xfId="2" applyFont="1" applyFill="1" applyBorder="1" applyAlignment="1">
      <alignment vertical="top"/>
    </xf>
    <xf numFmtId="0" fontId="1" fillId="0" borderId="70" xfId="2" applyBorder="1" applyAlignment="1"/>
    <xf numFmtId="0" fontId="1" fillId="0" borderId="77" xfId="2" applyBorder="1" applyAlignment="1"/>
    <xf numFmtId="0" fontId="1" fillId="0" borderId="227" xfId="2" applyBorder="1" applyAlignment="1"/>
    <xf numFmtId="0" fontId="1" fillId="0" borderId="66" xfId="2" applyBorder="1" applyAlignment="1"/>
    <xf numFmtId="0" fontId="28" fillId="17" borderId="77" xfId="2" applyFont="1" applyFill="1" applyBorder="1" applyAlignment="1">
      <alignment horizontal="center" vertical="center"/>
    </xf>
    <xf numFmtId="0" fontId="28" fillId="17" borderId="72" xfId="2" applyFont="1" applyFill="1" applyBorder="1" applyAlignment="1">
      <alignment horizontal="center" vertical="center"/>
    </xf>
    <xf numFmtId="190" fontId="31" fillId="25" borderId="69" xfId="2" applyNumberFormat="1" applyFont="1" applyFill="1" applyBorder="1" applyAlignment="1"/>
    <xf numFmtId="0" fontId="1" fillId="9" borderId="70" xfId="2" applyFill="1" applyBorder="1" applyAlignment="1">
      <alignment vertical="top"/>
    </xf>
    <xf numFmtId="0" fontId="1" fillId="9" borderId="77" xfId="2" applyFill="1" applyBorder="1" applyAlignment="1">
      <alignment vertical="top"/>
    </xf>
    <xf numFmtId="229" fontId="31" fillId="25" borderId="69" xfId="2" applyNumberFormat="1" applyFont="1" applyFill="1" applyBorder="1" applyAlignment="1">
      <alignment vertical="center"/>
    </xf>
    <xf numFmtId="189" fontId="31" fillId="0" borderId="68" xfId="2" applyNumberFormat="1" applyFont="1" applyBorder="1" applyAlignment="1">
      <alignment horizontal="right" vertical="center"/>
    </xf>
    <xf numFmtId="229" fontId="1" fillId="25" borderId="69" xfId="2" applyNumberFormat="1" applyFill="1" applyBorder="1" applyAlignment="1">
      <alignment vertical="center"/>
    </xf>
    <xf numFmtId="229" fontId="1" fillId="25" borderId="73" xfId="2" applyNumberFormat="1" applyFill="1" applyBorder="1" applyAlignment="1">
      <alignment vertical="center"/>
    </xf>
    <xf numFmtId="0" fontId="30" fillId="8" borderId="71" xfId="2" applyFont="1" applyFill="1" applyBorder="1" applyAlignment="1">
      <alignment vertical="top"/>
    </xf>
    <xf numFmtId="0" fontId="30" fillId="8" borderId="69" xfId="2" applyFont="1" applyFill="1" applyBorder="1" applyAlignment="1">
      <alignment vertical="top"/>
    </xf>
    <xf numFmtId="0" fontId="1" fillId="9" borderId="74" xfId="2" applyFill="1" applyBorder="1" applyAlignment="1">
      <alignment vertical="top"/>
    </xf>
    <xf numFmtId="0" fontId="1" fillId="9" borderId="68" xfId="2" applyFill="1" applyBorder="1" applyAlignment="1">
      <alignment vertical="top"/>
    </xf>
    <xf numFmtId="0" fontId="1" fillId="9" borderId="227" xfId="2" applyFill="1" applyBorder="1" applyAlignment="1">
      <alignment vertical="top"/>
    </xf>
    <xf numFmtId="0" fontId="1" fillId="9" borderId="66" xfId="2" applyFill="1" applyBorder="1" applyAlignment="1">
      <alignment vertical="top"/>
    </xf>
    <xf numFmtId="229" fontId="31" fillId="25" borderId="68" xfId="2" applyNumberFormat="1" applyFont="1" applyFill="1" applyBorder="1" applyAlignment="1">
      <alignment vertical="center"/>
    </xf>
    <xf numFmtId="0" fontId="1" fillId="9" borderId="71" xfId="2" applyFill="1" applyBorder="1" applyAlignment="1">
      <alignment vertical="top"/>
    </xf>
    <xf numFmtId="0" fontId="1" fillId="9" borderId="69" xfId="2" applyFill="1" applyBorder="1" applyAlignment="1">
      <alignment vertical="top"/>
    </xf>
    <xf numFmtId="197" fontId="31" fillId="25" borderId="69" xfId="2" applyNumberFormat="1" applyFont="1" applyFill="1" applyBorder="1" applyAlignment="1">
      <alignment vertical="center"/>
    </xf>
    <xf numFmtId="0" fontId="15" fillId="0" borderId="226" xfId="2" applyFont="1" applyBorder="1" applyAlignment="1">
      <alignment vertical="center"/>
    </xf>
    <xf numFmtId="0" fontId="1" fillId="0" borderId="74" xfId="2" applyBorder="1" applyAlignment="1"/>
    <xf numFmtId="0" fontId="1" fillId="0" borderId="68" xfId="2" applyBorder="1" applyAlignment="1"/>
    <xf numFmtId="0" fontId="30" fillId="8" borderId="227" xfId="2" applyFont="1" applyFill="1" applyBorder="1" applyAlignment="1">
      <alignment vertical="top"/>
    </xf>
    <xf numFmtId="0" fontId="30" fillId="8" borderId="66" xfId="2" applyFont="1" applyFill="1" applyBorder="1" applyAlignment="1">
      <alignment vertical="top"/>
    </xf>
    <xf numFmtId="0" fontId="1" fillId="7" borderId="70" xfId="2" applyFill="1" applyBorder="1" applyAlignment="1">
      <alignment vertical="top"/>
    </xf>
    <xf numFmtId="0" fontId="1" fillId="7" borderId="77" xfId="2" applyFill="1" applyBorder="1" applyAlignment="1">
      <alignment vertical="top"/>
    </xf>
    <xf numFmtId="0" fontId="1" fillId="7" borderId="71" xfId="2" applyFill="1" applyBorder="1" applyAlignment="1">
      <alignment vertical="top"/>
    </xf>
    <xf numFmtId="0" fontId="1" fillId="7" borderId="69" xfId="2" applyFill="1" applyBorder="1" applyAlignment="1">
      <alignment vertical="top"/>
    </xf>
    <xf numFmtId="229" fontId="31" fillId="0" borderId="69" xfId="2" applyNumberFormat="1" applyFont="1" applyBorder="1" applyAlignment="1">
      <alignment vertical="center"/>
    </xf>
    <xf numFmtId="229" fontId="1" fillId="0" borderId="69" xfId="2" applyNumberFormat="1" applyBorder="1" applyAlignment="1">
      <alignment vertical="center"/>
    </xf>
    <xf numFmtId="229" fontId="1" fillId="0" borderId="73" xfId="2" applyNumberFormat="1" applyBorder="1" applyAlignment="1">
      <alignment vertical="center"/>
    </xf>
    <xf numFmtId="197" fontId="31" fillId="0" borderId="69" xfId="2" applyNumberFormat="1" applyFont="1" applyBorder="1" applyAlignment="1">
      <alignment vertical="center"/>
    </xf>
    <xf numFmtId="229" fontId="1" fillId="25" borderId="68" xfId="2" applyNumberFormat="1" applyFill="1" applyBorder="1" applyAlignment="1">
      <alignment vertical="center"/>
    </xf>
    <xf numFmtId="229" fontId="1" fillId="25" borderId="76" xfId="2" applyNumberFormat="1" applyFill="1" applyBorder="1" applyAlignment="1">
      <alignment vertical="center"/>
    </xf>
    <xf numFmtId="197" fontId="31" fillId="25" borderId="68" xfId="2" applyNumberFormat="1" applyFont="1" applyFill="1" applyBorder="1" applyAlignment="1">
      <alignment vertical="center"/>
    </xf>
    <xf numFmtId="192" fontId="1" fillId="0" borderId="128" xfId="2" applyNumberFormat="1" applyBorder="1" applyAlignment="1">
      <alignment vertical="center"/>
    </xf>
    <xf numFmtId="0" fontId="28" fillId="18" borderId="77" xfId="2" applyFont="1" applyFill="1" applyBorder="1" applyAlignment="1">
      <alignment horizontal="center" vertical="center"/>
    </xf>
    <xf numFmtId="0" fontId="28" fillId="18" borderId="72" xfId="2" applyFont="1" applyFill="1" applyBorder="1" applyAlignment="1">
      <alignment horizontal="center" vertical="center"/>
    </xf>
    <xf numFmtId="5" fontId="1" fillId="0" borderId="226" xfId="2" applyNumberFormat="1" applyBorder="1" applyAlignment="1">
      <alignment vertical="center"/>
    </xf>
    <xf numFmtId="5" fontId="17" fillId="0" borderId="226" xfId="2" applyNumberFormat="1" applyFont="1" applyBorder="1" applyAlignment="1">
      <alignment vertical="center"/>
    </xf>
    <xf numFmtId="5" fontId="17" fillId="0" borderId="226" xfId="2" applyNumberFormat="1" applyFont="1" applyBorder="1" applyAlignment="1">
      <alignment horizontal="right" vertical="center"/>
    </xf>
    <xf numFmtId="189" fontId="0" fillId="0" borderId="0" xfId="0" applyNumberFormat="1" applyAlignment="1">
      <alignment horizontal="right" vertical="center"/>
    </xf>
    <xf numFmtId="189" fontId="0" fillId="0" borderId="41" xfId="0" applyNumberFormat="1" applyBorder="1" applyAlignment="1">
      <alignment horizontal="right" vertical="center"/>
    </xf>
    <xf numFmtId="189" fontId="31" fillId="25" borderId="68" xfId="2" applyNumberFormat="1" applyFont="1" applyFill="1" applyBorder="1" applyAlignment="1">
      <alignment horizontal="right" vertical="center"/>
    </xf>
    <xf numFmtId="189" fontId="7" fillId="25" borderId="68" xfId="2" applyNumberFormat="1" applyFont="1" applyFill="1" applyBorder="1" applyAlignment="1">
      <alignment horizontal="right"/>
    </xf>
    <xf numFmtId="5" fontId="31" fillId="25" borderId="68" xfId="2" applyNumberFormat="1" applyFont="1" applyFill="1" applyBorder="1" applyAlignment="1">
      <alignment vertical="center"/>
    </xf>
    <xf numFmtId="5" fontId="1" fillId="0" borderId="66" xfId="2" applyNumberFormat="1" applyBorder="1" applyAlignment="1">
      <alignment vertical="center"/>
    </xf>
    <xf numFmtId="5" fontId="1" fillId="0" borderId="225" xfId="2" applyNumberFormat="1" applyBorder="1" applyAlignment="1">
      <alignment vertical="center"/>
    </xf>
    <xf numFmtId="5" fontId="1" fillId="25" borderId="68" xfId="2" applyNumberFormat="1" applyFill="1" applyBorder="1" applyAlignment="1">
      <alignment vertical="center"/>
    </xf>
    <xf numFmtId="5" fontId="1" fillId="25" borderId="76" xfId="2" applyNumberFormat="1" applyFill="1" applyBorder="1" applyAlignment="1">
      <alignment vertical="center"/>
    </xf>
    <xf numFmtId="189" fontId="7" fillId="25" borderId="66" xfId="2" applyNumberFormat="1" applyFont="1" applyFill="1" applyBorder="1" applyAlignment="1">
      <alignment horizontal="right"/>
    </xf>
    <xf numFmtId="5" fontId="31" fillId="25" borderId="66" xfId="2" applyNumberFormat="1" applyFont="1" applyFill="1" applyBorder="1" applyAlignment="1">
      <alignment vertical="center"/>
    </xf>
    <xf numFmtId="5" fontId="1" fillId="25" borderId="66" xfId="2" applyNumberFormat="1" applyFill="1" applyBorder="1" applyAlignment="1">
      <alignment vertical="center"/>
    </xf>
    <xf numFmtId="5" fontId="1" fillId="25" borderId="225" xfId="2" applyNumberFormat="1" applyFill="1" applyBorder="1" applyAlignment="1">
      <alignment vertical="center"/>
    </xf>
    <xf numFmtId="189" fontId="31" fillId="0" borderId="77" xfId="2" applyNumberFormat="1" applyFont="1" applyBorder="1" applyAlignment="1">
      <alignment horizontal="right" vertical="center"/>
    </xf>
    <xf numFmtId="189" fontId="31" fillId="25" borderId="77" xfId="2" applyNumberFormat="1" applyFont="1" applyFill="1" applyBorder="1" applyAlignment="1">
      <alignment horizontal="right" vertical="center"/>
    </xf>
    <xf numFmtId="5" fontId="31" fillId="0" borderId="77" xfId="2" applyNumberFormat="1" applyFont="1" applyBorder="1" applyAlignment="1">
      <alignment vertical="center"/>
    </xf>
    <xf numFmtId="5" fontId="1" fillId="0" borderId="77" xfId="2" applyNumberFormat="1" applyBorder="1" applyAlignment="1">
      <alignment vertical="center"/>
    </xf>
    <xf numFmtId="5" fontId="1" fillId="0" borderId="72" xfId="2" applyNumberFormat="1" applyBorder="1" applyAlignment="1">
      <alignment vertical="center"/>
    </xf>
    <xf numFmtId="189" fontId="7" fillId="25" borderId="69" xfId="2" applyNumberFormat="1" applyFont="1" applyFill="1" applyBorder="1" applyAlignment="1">
      <alignment horizontal="right"/>
    </xf>
    <xf numFmtId="5" fontId="31" fillId="25" borderId="77" xfId="2" applyNumberFormat="1" applyFont="1" applyFill="1" applyBorder="1" applyAlignment="1">
      <alignment vertical="center"/>
    </xf>
    <xf numFmtId="5" fontId="31" fillId="25" borderId="69" xfId="2" applyNumberFormat="1" applyFont="1" applyFill="1" applyBorder="1" applyAlignment="1">
      <alignment vertical="center"/>
    </xf>
    <xf numFmtId="5" fontId="1" fillId="25" borderId="77" xfId="2" applyNumberFormat="1" applyFill="1" applyBorder="1" applyAlignment="1">
      <alignment vertical="center"/>
    </xf>
    <xf numFmtId="5" fontId="1" fillId="25" borderId="72" xfId="2" applyNumberFormat="1" applyFill="1" applyBorder="1" applyAlignment="1">
      <alignment vertical="center"/>
    </xf>
    <xf numFmtId="5" fontId="1" fillId="25" borderId="69" xfId="2" applyNumberFormat="1" applyFill="1" applyBorder="1" applyAlignment="1">
      <alignment vertical="center"/>
    </xf>
    <xf numFmtId="5" fontId="1" fillId="25" borderId="73" xfId="2" applyNumberFormat="1" applyFill="1" applyBorder="1" applyAlignment="1">
      <alignment vertical="center"/>
    </xf>
    <xf numFmtId="189" fontId="7" fillId="0" borderId="66" xfId="2" applyNumberFormat="1" applyFont="1" applyBorder="1" applyAlignment="1">
      <alignment horizontal="right"/>
    </xf>
    <xf numFmtId="5" fontId="31" fillId="0" borderId="66" xfId="2" applyNumberFormat="1" applyFont="1" applyBorder="1" applyAlignment="1">
      <alignment vertical="center"/>
    </xf>
    <xf numFmtId="0" fontId="0" fillId="0" borderId="0" xfId="0" applyAlignment="1">
      <alignment vertical="center"/>
    </xf>
  </cellXfs>
  <cellStyles count="3">
    <cellStyle name="桁区切り" xfId="1" builtinId="6"/>
    <cellStyle name="標準" xfId="0" builtinId="0"/>
    <cellStyle name="標準_現状コストシート" xfId="2"/>
  </cellStyles>
  <dxfs count="19">
    <dxf>
      <font>
        <b val="0"/>
        <i val="0"/>
        <condense val="0"/>
        <extend val="0"/>
        <color indexed="9"/>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ndense val="0"/>
        <extend val="0"/>
        <color indexed="8"/>
      </font>
      <fill>
        <patternFill>
          <bgColor indexed="13"/>
        </patternFill>
      </fill>
    </dxf>
    <dxf>
      <font>
        <condense val="0"/>
        <extend val="0"/>
        <color indexed="8"/>
      </font>
      <fill>
        <patternFill>
          <bgColor indexed="13"/>
        </patternFill>
      </fill>
    </dxf>
    <dxf>
      <font>
        <condense val="0"/>
        <extend val="0"/>
        <color indexed="8"/>
      </font>
      <fill>
        <patternFill>
          <bgColor indexed="13"/>
        </patternFill>
      </fill>
    </dxf>
    <dxf>
      <font>
        <condense val="0"/>
        <extend val="0"/>
        <color indexed="8"/>
      </font>
      <fill>
        <patternFill>
          <bgColor indexed="13"/>
        </patternFill>
      </fill>
    </dxf>
    <dxf>
      <font>
        <condense val="0"/>
        <extend val="0"/>
        <color indexed="8"/>
      </font>
      <fill>
        <patternFill>
          <bgColor indexed="13"/>
        </patternFill>
      </fill>
    </dxf>
    <dxf>
      <font>
        <condense val="0"/>
        <extend val="0"/>
        <color indexed="8"/>
      </font>
      <fill>
        <patternFill>
          <bgColor indexed="1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activeX/activeX3.xml><?xml version="1.0" encoding="utf-8"?>
<ax:ocx xmlns:ax="http://schemas.microsoft.com/office/2006/activeX" xmlns:r="http://schemas.openxmlformats.org/officeDocument/2006/relationships" ax:classid="{D7053240-CE69-11CD-A777-00DD01143C57}"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625" b="0" i="0" u="none" strike="noStrike" baseline="0">
                <a:solidFill>
                  <a:srgbClr val="000000"/>
                </a:solidFill>
                <a:latin typeface="ＭＳ Ｐゴシック"/>
                <a:ea typeface="ＭＳ Ｐゴシック"/>
                <a:cs typeface="ＭＳ Ｐゴシック"/>
              </a:defRPr>
            </a:pPr>
            <a:r>
              <a:rPr lang="ja-JP" altLang="en-US" sz="1175" b="0" i="0" u="none" strike="noStrike" baseline="0">
                <a:solidFill>
                  <a:srgbClr val="000000"/>
                </a:solidFill>
                <a:latin typeface="HG創英角ｺﾞｼｯｸUB"/>
                <a:ea typeface="HG創英角ｺﾞｼｯｸUB"/>
              </a:rPr>
              <a:t>各業務作業種類別</a:t>
            </a:r>
          </a:p>
          <a:p>
            <a:pPr>
              <a:defRPr sz="1625" b="0" i="0" u="none" strike="noStrike" baseline="0">
                <a:solidFill>
                  <a:srgbClr val="000000"/>
                </a:solidFill>
                <a:latin typeface="ＭＳ Ｐゴシック"/>
                <a:ea typeface="ＭＳ Ｐゴシック"/>
                <a:cs typeface="ＭＳ Ｐゴシック"/>
              </a:defRPr>
            </a:pPr>
            <a:r>
              <a:rPr lang="ja-JP" altLang="en-US" sz="1175" b="0" i="0" u="none" strike="noStrike" baseline="0">
                <a:solidFill>
                  <a:srgbClr val="000000"/>
                </a:solidFill>
                <a:latin typeface="HG創英角ｺﾞｼｯｸUB"/>
                <a:ea typeface="HG創英角ｺﾞｼｯｸUB"/>
              </a:rPr>
              <a:t>導入前後グラフ</a:t>
            </a:r>
          </a:p>
        </c:rich>
      </c:tx>
      <c:layout>
        <c:manualLayout>
          <c:xMode val="edge"/>
          <c:yMode val="edge"/>
          <c:x val="0.42888210634908419"/>
          <c:y val="2.9644268774703556E-2"/>
        </c:manualLayout>
      </c:layout>
      <c:overlay val="0"/>
      <c:spPr>
        <a:noFill/>
        <a:ln w="25400">
          <a:noFill/>
        </a:ln>
      </c:spPr>
    </c:title>
    <c:autoTitleDeleted val="0"/>
    <c:plotArea>
      <c:layout>
        <c:manualLayout>
          <c:layoutTarget val="inner"/>
          <c:xMode val="edge"/>
          <c:yMode val="edge"/>
          <c:x val="0.17806750694250786"/>
          <c:y val="0.1225296442687747"/>
          <c:w val="0.81541888849892319"/>
          <c:h val="0.85770750988142297"/>
        </c:manualLayout>
      </c:layout>
      <c:barChart>
        <c:barDir val="bar"/>
        <c:grouping val="stacked"/>
        <c:varyColors val="0"/>
        <c:ser>
          <c:idx val="0"/>
          <c:order val="0"/>
          <c:tx>
            <c:strRef>
              <c:f>●削減効果!$V$52</c:f>
              <c:strCache>
                <c:ptCount val="1"/>
                <c:pt idx="0">
                  <c:v>準備・確認など</c:v>
                </c:pt>
              </c:strCache>
            </c:strRef>
          </c:tx>
          <c:spPr>
            <a:gradFill rotWithShape="0">
              <a:gsLst>
                <a:gs pos="0">
                  <a:srgbClr xmlns:mc="http://schemas.openxmlformats.org/markup-compatibility/2006" xmlns:a14="http://schemas.microsoft.com/office/drawing/2010/main" val="B0DCDC" mc:Ignorable="a14" a14:legacySpreadsheetColorIndex="41">
                    <a:gamma/>
                    <a:shade val="86275"/>
                    <a:invGamma/>
                  </a:srgbClr>
                </a:gs>
                <a:gs pos="50000">
                  <a:srgbClr xmlns:mc="http://schemas.openxmlformats.org/markup-compatibility/2006" xmlns:a14="http://schemas.microsoft.com/office/drawing/2010/main" val="CCFFFF" mc:Ignorable="a14" a14:legacySpreadsheetColorIndex="41"/>
                </a:gs>
                <a:gs pos="100000">
                  <a:srgbClr xmlns:mc="http://schemas.openxmlformats.org/markup-compatibility/2006" xmlns:a14="http://schemas.microsoft.com/office/drawing/2010/main" val="B0DCDC" mc:Ignorable="a14" a14:legacySpreadsheetColorIndex="41">
                    <a:gamma/>
                    <a:shade val="86275"/>
                    <a:invGamma/>
                  </a:srgbClr>
                </a:gs>
              </a:gsLst>
              <a:lin ang="5400000" scaled="1"/>
            </a:gradFill>
            <a:ln w="12700">
              <a:solidFill>
                <a:srgbClr val="808080"/>
              </a:solidFill>
              <a:prstDash val="solid"/>
            </a:ln>
          </c:spPr>
          <c:invertIfNegative val="0"/>
          <c:cat>
            <c:strRef>
              <c:f>●削減効果!$U$53:$U$70</c:f>
              <c:strCache>
                <c:ptCount val="18"/>
                <c:pt idx="1">
                  <c:v>【電子化後】</c:v>
                </c:pt>
                <c:pt idx="2">
                  <c:v>請求</c:v>
                </c:pt>
                <c:pt idx="4">
                  <c:v>【電子化後】</c:v>
                </c:pt>
                <c:pt idx="5">
                  <c:v>出来高調書・出来高査定</c:v>
                </c:pt>
                <c:pt idx="7">
                  <c:v>【電子化後】</c:v>
                </c:pt>
                <c:pt idx="8">
                  <c:v>契約（注文書の受け取り)</c:v>
                </c:pt>
                <c:pt idx="10">
                  <c:v>【電子化後】</c:v>
                </c:pt>
                <c:pt idx="11">
                  <c:v>契約（注文書の発行)</c:v>
                </c:pt>
                <c:pt idx="13">
                  <c:v>【電子化後】</c:v>
                </c:pt>
                <c:pt idx="14">
                  <c:v>購買見積回答・見積比較</c:v>
                </c:pt>
                <c:pt idx="16">
                  <c:v>【電子化後】</c:v>
                </c:pt>
                <c:pt idx="17">
                  <c:v>購買見積依頼</c:v>
                </c:pt>
              </c:strCache>
            </c:strRef>
          </c:cat>
          <c:val>
            <c:numRef>
              <c:f>●削減効果!$V$53:$V$70</c:f>
              <c:numCache>
                <c:formatCode>General</c:formatCode>
                <c:ptCount val="18"/>
                <c:pt idx="1">
                  <c:v>0</c:v>
                </c:pt>
                <c:pt idx="2">
                  <c:v>0</c:v>
                </c:pt>
                <c:pt idx="4">
                  <c:v>0</c:v>
                </c:pt>
                <c:pt idx="5">
                  <c:v>0</c:v>
                </c:pt>
                <c:pt idx="7">
                  <c:v>0</c:v>
                </c:pt>
                <c:pt idx="8">
                  <c:v>0</c:v>
                </c:pt>
                <c:pt idx="10">
                  <c:v>1500</c:v>
                </c:pt>
                <c:pt idx="11">
                  <c:v>1500</c:v>
                </c:pt>
                <c:pt idx="13">
                  <c:v>0</c:v>
                </c:pt>
                <c:pt idx="14">
                  <c:v>0</c:v>
                </c:pt>
                <c:pt idx="16">
                  <c:v>0</c:v>
                </c:pt>
                <c:pt idx="17" formatCode="&quot;¥&quot;#,##0.00_);\(&quot;¥&quot;#,##0.00\)">
                  <c:v>0</c:v>
                </c:pt>
              </c:numCache>
            </c:numRef>
          </c:val>
        </c:ser>
        <c:ser>
          <c:idx val="1"/>
          <c:order val="1"/>
          <c:tx>
            <c:strRef>
              <c:f>●削減効果!$W$52</c:f>
              <c:strCache>
                <c:ptCount val="1"/>
                <c:pt idx="0">
                  <c:v>作成・折衝など</c:v>
                </c:pt>
              </c:strCache>
            </c:strRef>
          </c:tx>
          <c:spPr>
            <a:gradFill rotWithShape="0">
              <a:gsLst>
                <a:gs pos="0">
                  <a:srgbClr xmlns:mc="http://schemas.openxmlformats.org/markup-compatibility/2006" xmlns:a14="http://schemas.microsoft.com/office/drawing/2010/main" val="DCDC00" mc:Ignorable="a14" a14:legacySpreadsheetColorIndex="13">
                    <a:gamma/>
                    <a:shade val="86275"/>
                    <a:invGamma/>
                  </a:srgbClr>
                </a:gs>
                <a:gs pos="50000">
                  <a:srgbClr xmlns:mc="http://schemas.openxmlformats.org/markup-compatibility/2006" xmlns:a14="http://schemas.microsoft.com/office/drawing/2010/main" val="FFFF00" mc:Ignorable="a14" a14:legacySpreadsheetColorIndex="13"/>
                </a:gs>
                <a:gs pos="100000">
                  <a:srgbClr xmlns:mc="http://schemas.openxmlformats.org/markup-compatibility/2006" xmlns:a14="http://schemas.microsoft.com/office/drawing/2010/main" val="DCDC00" mc:Ignorable="a14" a14:legacySpreadsheetColorIndex="13">
                    <a:gamma/>
                    <a:shade val="86275"/>
                    <a:invGamma/>
                  </a:srgbClr>
                </a:gs>
              </a:gsLst>
              <a:lin ang="5400000" scaled="1"/>
            </a:gradFill>
            <a:ln w="12700">
              <a:solidFill>
                <a:srgbClr val="808080"/>
              </a:solidFill>
              <a:prstDash val="solid"/>
            </a:ln>
          </c:spPr>
          <c:invertIfNegative val="0"/>
          <c:cat>
            <c:strRef>
              <c:f>●削減効果!$U$53:$U$70</c:f>
              <c:strCache>
                <c:ptCount val="18"/>
                <c:pt idx="1">
                  <c:v>【電子化後】</c:v>
                </c:pt>
                <c:pt idx="2">
                  <c:v>請求</c:v>
                </c:pt>
                <c:pt idx="4">
                  <c:v>【電子化後】</c:v>
                </c:pt>
                <c:pt idx="5">
                  <c:v>出来高調書・出来高査定</c:v>
                </c:pt>
                <c:pt idx="7">
                  <c:v>【電子化後】</c:v>
                </c:pt>
                <c:pt idx="8">
                  <c:v>契約（注文書の受け取り)</c:v>
                </c:pt>
                <c:pt idx="10">
                  <c:v>【電子化後】</c:v>
                </c:pt>
                <c:pt idx="11">
                  <c:v>契約（注文書の発行)</c:v>
                </c:pt>
                <c:pt idx="13">
                  <c:v>【電子化後】</c:v>
                </c:pt>
                <c:pt idx="14">
                  <c:v>購買見積回答・見積比較</c:v>
                </c:pt>
                <c:pt idx="16">
                  <c:v>【電子化後】</c:v>
                </c:pt>
                <c:pt idx="17">
                  <c:v>購買見積依頼</c:v>
                </c:pt>
              </c:strCache>
            </c:strRef>
          </c:cat>
          <c:val>
            <c:numRef>
              <c:f>●削減効果!$W$53:$W$70</c:f>
              <c:numCache>
                <c:formatCode>General</c:formatCode>
                <c:ptCount val="18"/>
                <c:pt idx="1">
                  <c:v>0</c:v>
                </c:pt>
                <c:pt idx="2">
                  <c:v>0</c:v>
                </c:pt>
                <c:pt idx="4">
                  <c:v>0</c:v>
                </c:pt>
                <c:pt idx="5">
                  <c:v>0</c:v>
                </c:pt>
                <c:pt idx="7">
                  <c:v>150</c:v>
                </c:pt>
                <c:pt idx="8">
                  <c:v>150</c:v>
                </c:pt>
                <c:pt idx="10">
                  <c:v>750</c:v>
                </c:pt>
                <c:pt idx="11">
                  <c:v>1500</c:v>
                </c:pt>
                <c:pt idx="13">
                  <c:v>0</c:v>
                </c:pt>
                <c:pt idx="14">
                  <c:v>0</c:v>
                </c:pt>
                <c:pt idx="16">
                  <c:v>0</c:v>
                </c:pt>
                <c:pt idx="17" formatCode="&quot;¥&quot;#,##0.00_);\(&quot;¥&quot;#,##0.00\)">
                  <c:v>0</c:v>
                </c:pt>
              </c:numCache>
            </c:numRef>
          </c:val>
        </c:ser>
        <c:ser>
          <c:idx val="2"/>
          <c:order val="2"/>
          <c:tx>
            <c:strRef>
              <c:f>●削減効果!$X$52</c:f>
              <c:strCache>
                <c:ptCount val="1"/>
                <c:pt idx="0">
                  <c:v>承認処理</c:v>
                </c:pt>
              </c:strCache>
            </c:strRef>
          </c:tx>
          <c:spPr>
            <a:gradFill rotWithShape="0">
              <a:gsLst>
                <a:gs pos="0">
                  <a:srgbClr xmlns:mc="http://schemas.openxmlformats.org/markup-compatibility/2006" xmlns:a14="http://schemas.microsoft.com/office/drawing/2010/main" val="00DCDC" mc:Ignorable="a14" a14:legacySpreadsheetColorIndex="15">
                    <a:gamma/>
                    <a:shade val="86275"/>
                    <a:invGamma/>
                  </a:srgbClr>
                </a:gs>
                <a:gs pos="50000">
                  <a:srgbClr xmlns:mc="http://schemas.openxmlformats.org/markup-compatibility/2006" xmlns:a14="http://schemas.microsoft.com/office/drawing/2010/main" val="00FFFF" mc:Ignorable="a14" a14:legacySpreadsheetColorIndex="15"/>
                </a:gs>
                <a:gs pos="100000">
                  <a:srgbClr xmlns:mc="http://schemas.openxmlformats.org/markup-compatibility/2006" xmlns:a14="http://schemas.microsoft.com/office/drawing/2010/main" val="00DCDC" mc:Ignorable="a14" a14:legacySpreadsheetColorIndex="15">
                    <a:gamma/>
                    <a:shade val="86275"/>
                    <a:invGamma/>
                  </a:srgbClr>
                </a:gs>
              </a:gsLst>
              <a:lin ang="5400000" scaled="1"/>
            </a:gradFill>
            <a:ln w="12700">
              <a:solidFill>
                <a:srgbClr val="808080"/>
              </a:solidFill>
              <a:prstDash val="solid"/>
            </a:ln>
          </c:spPr>
          <c:invertIfNegative val="0"/>
          <c:cat>
            <c:strRef>
              <c:f>●削減効果!$U$53:$U$70</c:f>
              <c:strCache>
                <c:ptCount val="18"/>
                <c:pt idx="1">
                  <c:v>【電子化後】</c:v>
                </c:pt>
                <c:pt idx="2">
                  <c:v>請求</c:v>
                </c:pt>
                <c:pt idx="4">
                  <c:v>【電子化後】</c:v>
                </c:pt>
                <c:pt idx="5">
                  <c:v>出来高調書・出来高査定</c:v>
                </c:pt>
                <c:pt idx="7">
                  <c:v>【電子化後】</c:v>
                </c:pt>
                <c:pt idx="8">
                  <c:v>契約（注文書の受け取り)</c:v>
                </c:pt>
                <c:pt idx="10">
                  <c:v>【電子化後】</c:v>
                </c:pt>
                <c:pt idx="11">
                  <c:v>契約（注文書の発行)</c:v>
                </c:pt>
                <c:pt idx="13">
                  <c:v>【電子化後】</c:v>
                </c:pt>
                <c:pt idx="14">
                  <c:v>購買見積回答・見積比較</c:v>
                </c:pt>
                <c:pt idx="16">
                  <c:v>【電子化後】</c:v>
                </c:pt>
                <c:pt idx="17">
                  <c:v>購買見積依頼</c:v>
                </c:pt>
              </c:strCache>
            </c:strRef>
          </c:cat>
          <c:val>
            <c:numRef>
              <c:f>●削減効果!$X$53:$X$70</c:f>
              <c:numCache>
                <c:formatCode>General</c:formatCode>
                <c:ptCount val="18"/>
                <c:pt idx="1">
                  <c:v>0</c:v>
                </c:pt>
                <c:pt idx="2">
                  <c:v>0</c:v>
                </c:pt>
                <c:pt idx="4">
                  <c:v>0</c:v>
                </c:pt>
                <c:pt idx="5">
                  <c:v>0</c:v>
                </c:pt>
                <c:pt idx="7">
                  <c:v>0</c:v>
                </c:pt>
                <c:pt idx="8">
                  <c:v>0</c:v>
                </c:pt>
                <c:pt idx="10">
                  <c:v>0</c:v>
                </c:pt>
                <c:pt idx="11">
                  <c:v>0</c:v>
                </c:pt>
                <c:pt idx="13">
                  <c:v>0</c:v>
                </c:pt>
                <c:pt idx="14">
                  <c:v>0</c:v>
                </c:pt>
                <c:pt idx="16">
                  <c:v>0</c:v>
                </c:pt>
                <c:pt idx="17" formatCode="&quot;¥&quot;#,##0.00_);\(&quot;¥&quot;#,##0.00\)">
                  <c:v>0</c:v>
                </c:pt>
              </c:numCache>
            </c:numRef>
          </c:val>
        </c:ser>
        <c:ser>
          <c:idx val="3"/>
          <c:order val="3"/>
          <c:tx>
            <c:strRef>
              <c:f>●削減効果!$Y$52</c:f>
              <c:strCache>
                <c:ptCount val="1"/>
                <c:pt idx="0">
                  <c:v>移動時間・封書詰めなど</c:v>
                </c:pt>
              </c:strCache>
            </c:strRef>
          </c:tx>
          <c:spPr>
            <a:gradFill rotWithShape="0">
              <a:gsLst>
                <a:gs pos="0">
                  <a:srgbClr xmlns:mc="http://schemas.openxmlformats.org/markup-compatibility/2006" xmlns:a14="http://schemas.microsoft.com/office/drawing/2010/main" val="3366FF" mc:Ignorable="a14" a14:legacySpreadsheetColorIndex="48"/>
                </a:gs>
                <a:gs pos="50000">
                  <a:srgbClr xmlns:mc="http://schemas.openxmlformats.org/markup-compatibility/2006" xmlns:a14="http://schemas.microsoft.com/office/drawing/2010/main" val="698EFF" mc:Ignorable="a14" a14:legacySpreadsheetColorIndex="48">
                    <a:gamma/>
                    <a:tint val="73725"/>
                    <a:invGamma/>
                  </a:srgbClr>
                </a:gs>
                <a:gs pos="100000">
                  <a:srgbClr xmlns:mc="http://schemas.openxmlformats.org/markup-compatibility/2006" xmlns:a14="http://schemas.microsoft.com/office/drawing/2010/main" val="3366FF" mc:Ignorable="a14" a14:legacySpreadsheetColorIndex="48"/>
                </a:gs>
              </a:gsLst>
              <a:lin ang="5400000" scaled="1"/>
            </a:gradFill>
            <a:ln w="12700">
              <a:solidFill>
                <a:srgbClr val="808080"/>
              </a:solidFill>
              <a:prstDash val="solid"/>
            </a:ln>
          </c:spPr>
          <c:invertIfNegative val="0"/>
          <c:cat>
            <c:strRef>
              <c:f>●削減効果!$U$53:$U$70</c:f>
              <c:strCache>
                <c:ptCount val="18"/>
                <c:pt idx="1">
                  <c:v>【電子化後】</c:v>
                </c:pt>
                <c:pt idx="2">
                  <c:v>請求</c:v>
                </c:pt>
                <c:pt idx="4">
                  <c:v>【電子化後】</c:v>
                </c:pt>
                <c:pt idx="5">
                  <c:v>出来高調書・出来高査定</c:v>
                </c:pt>
                <c:pt idx="7">
                  <c:v>【電子化後】</c:v>
                </c:pt>
                <c:pt idx="8">
                  <c:v>契約（注文書の受け取り)</c:v>
                </c:pt>
                <c:pt idx="10">
                  <c:v>【電子化後】</c:v>
                </c:pt>
                <c:pt idx="11">
                  <c:v>契約（注文書の発行)</c:v>
                </c:pt>
                <c:pt idx="13">
                  <c:v>【電子化後】</c:v>
                </c:pt>
                <c:pt idx="14">
                  <c:v>購買見積回答・見積比較</c:v>
                </c:pt>
                <c:pt idx="16">
                  <c:v>【電子化後】</c:v>
                </c:pt>
                <c:pt idx="17">
                  <c:v>購買見積依頼</c:v>
                </c:pt>
              </c:strCache>
            </c:strRef>
          </c:cat>
          <c:val>
            <c:numRef>
              <c:f>●削減効果!$Y$53:$Y$70</c:f>
              <c:numCache>
                <c:formatCode>General</c:formatCode>
                <c:ptCount val="18"/>
                <c:pt idx="1">
                  <c:v>0</c:v>
                </c:pt>
                <c:pt idx="2">
                  <c:v>0</c:v>
                </c:pt>
                <c:pt idx="4">
                  <c:v>0</c:v>
                </c:pt>
                <c:pt idx="5">
                  <c:v>0</c:v>
                </c:pt>
                <c:pt idx="7">
                  <c:v>0</c:v>
                </c:pt>
                <c:pt idx="8">
                  <c:v>0</c:v>
                </c:pt>
                <c:pt idx="10">
                  <c:v>0</c:v>
                </c:pt>
                <c:pt idx="11">
                  <c:v>0</c:v>
                </c:pt>
                <c:pt idx="13">
                  <c:v>0</c:v>
                </c:pt>
                <c:pt idx="14">
                  <c:v>0</c:v>
                </c:pt>
                <c:pt idx="16">
                  <c:v>0</c:v>
                </c:pt>
                <c:pt idx="17" formatCode="&quot;¥&quot;#,##0.00_);\(&quot;¥&quot;#,##0.00\)">
                  <c:v>0</c:v>
                </c:pt>
              </c:numCache>
            </c:numRef>
          </c:val>
        </c:ser>
        <c:ser>
          <c:idx val="4"/>
          <c:order val="4"/>
          <c:tx>
            <c:strRef>
              <c:f>●削減効果!$Z$52</c:f>
              <c:strCache>
                <c:ptCount val="1"/>
                <c:pt idx="0">
                  <c:v>ファイリング</c:v>
                </c:pt>
              </c:strCache>
            </c:strRef>
          </c:tx>
          <c:spPr>
            <a:gradFill rotWithShape="0">
              <a:gsLst>
                <a:gs pos="0">
                  <a:srgbClr xmlns:mc="http://schemas.openxmlformats.org/markup-compatibility/2006" xmlns:a14="http://schemas.microsoft.com/office/drawing/2010/main" val="800080" mc:Ignorable="a14" a14:legacySpreadsheetColorIndex="20"/>
                </a:gs>
                <a:gs pos="50000">
                  <a:srgbClr xmlns:mc="http://schemas.openxmlformats.org/markup-compatibility/2006" xmlns:a14="http://schemas.microsoft.com/office/drawing/2010/main" val="A143A1" mc:Ignorable="a14" a14:legacySpreadsheetColorIndex="20">
                    <a:gamma/>
                    <a:tint val="73725"/>
                    <a:invGamma/>
                  </a:srgbClr>
                </a:gs>
                <a:gs pos="100000">
                  <a:srgbClr xmlns:mc="http://schemas.openxmlformats.org/markup-compatibility/2006" xmlns:a14="http://schemas.microsoft.com/office/drawing/2010/main" val="800080" mc:Ignorable="a14" a14:legacySpreadsheetColorIndex="20"/>
                </a:gs>
              </a:gsLst>
              <a:lin ang="5400000" scaled="1"/>
            </a:gradFill>
            <a:ln w="12700">
              <a:solidFill>
                <a:srgbClr val="808080"/>
              </a:solidFill>
              <a:prstDash val="solid"/>
            </a:ln>
          </c:spPr>
          <c:invertIfNegative val="0"/>
          <c:cat>
            <c:strRef>
              <c:f>●削減効果!$U$53:$U$70</c:f>
              <c:strCache>
                <c:ptCount val="18"/>
                <c:pt idx="1">
                  <c:v>【電子化後】</c:v>
                </c:pt>
                <c:pt idx="2">
                  <c:v>請求</c:v>
                </c:pt>
                <c:pt idx="4">
                  <c:v>【電子化後】</c:v>
                </c:pt>
                <c:pt idx="5">
                  <c:v>出来高調書・出来高査定</c:v>
                </c:pt>
                <c:pt idx="7">
                  <c:v>【電子化後】</c:v>
                </c:pt>
                <c:pt idx="8">
                  <c:v>契約（注文書の受け取り)</c:v>
                </c:pt>
                <c:pt idx="10">
                  <c:v>【電子化後】</c:v>
                </c:pt>
                <c:pt idx="11">
                  <c:v>契約（注文書の発行)</c:v>
                </c:pt>
                <c:pt idx="13">
                  <c:v>【電子化後】</c:v>
                </c:pt>
                <c:pt idx="14">
                  <c:v>購買見積回答・見積比較</c:v>
                </c:pt>
                <c:pt idx="16">
                  <c:v>【電子化後】</c:v>
                </c:pt>
                <c:pt idx="17">
                  <c:v>購買見積依頼</c:v>
                </c:pt>
              </c:strCache>
            </c:strRef>
          </c:cat>
          <c:val>
            <c:numRef>
              <c:f>●削減効果!$Z$53:$Z$70</c:f>
              <c:numCache>
                <c:formatCode>General</c:formatCode>
                <c:ptCount val="18"/>
                <c:pt idx="1">
                  <c:v>0</c:v>
                </c:pt>
                <c:pt idx="2">
                  <c:v>0</c:v>
                </c:pt>
                <c:pt idx="4">
                  <c:v>0</c:v>
                </c:pt>
                <c:pt idx="5">
                  <c:v>0</c:v>
                </c:pt>
                <c:pt idx="7">
                  <c:v>0</c:v>
                </c:pt>
                <c:pt idx="8">
                  <c:v>0</c:v>
                </c:pt>
                <c:pt idx="10">
                  <c:v>0</c:v>
                </c:pt>
                <c:pt idx="11">
                  <c:v>0</c:v>
                </c:pt>
                <c:pt idx="13">
                  <c:v>0</c:v>
                </c:pt>
                <c:pt idx="14">
                  <c:v>0</c:v>
                </c:pt>
                <c:pt idx="16">
                  <c:v>0</c:v>
                </c:pt>
                <c:pt idx="17" formatCode="&quot;¥&quot;#,##0.00_);\(&quot;¥&quot;#,##0.00\)">
                  <c:v>0</c:v>
                </c:pt>
              </c:numCache>
            </c:numRef>
          </c:val>
        </c:ser>
        <c:ser>
          <c:idx val="5"/>
          <c:order val="5"/>
          <c:tx>
            <c:strRef>
              <c:f>●削減効果!$AA$52</c:f>
              <c:strCache>
                <c:ptCount val="1"/>
                <c:pt idx="0">
                  <c:v>経費</c:v>
                </c:pt>
              </c:strCache>
            </c:strRef>
          </c:tx>
          <c:spPr>
            <a:gradFill rotWithShape="0">
              <a:gsLst>
                <a:gs pos="0">
                  <a:srgbClr xmlns:mc="http://schemas.openxmlformats.org/markup-compatibility/2006" xmlns:a14="http://schemas.microsoft.com/office/drawing/2010/main" val="FF0000" mc:Ignorable="a14" a14:legacySpreadsheetColorIndex="10"/>
                </a:gs>
                <a:gs pos="50000">
                  <a:srgbClr xmlns:mc="http://schemas.openxmlformats.org/markup-compatibility/2006" xmlns:a14="http://schemas.microsoft.com/office/drawing/2010/main" val="FF4343" mc:Ignorable="a14" a14:legacySpreadsheetColorIndex="10">
                    <a:gamma/>
                    <a:tint val="73725"/>
                    <a:invGamma/>
                  </a:srgbClr>
                </a:gs>
                <a:gs pos="100000">
                  <a:srgbClr xmlns:mc="http://schemas.openxmlformats.org/markup-compatibility/2006" xmlns:a14="http://schemas.microsoft.com/office/drawing/2010/main" val="FF0000" mc:Ignorable="a14" a14:legacySpreadsheetColorIndex="10"/>
                </a:gs>
              </a:gsLst>
              <a:lin ang="5400000" scaled="1"/>
            </a:gradFill>
            <a:ln w="12700">
              <a:solidFill>
                <a:srgbClr val="808080"/>
              </a:solidFill>
              <a:prstDash val="solid"/>
            </a:ln>
          </c:spPr>
          <c:invertIfNegative val="0"/>
          <c:cat>
            <c:strRef>
              <c:f>●削減効果!$U$53:$U$70</c:f>
              <c:strCache>
                <c:ptCount val="18"/>
                <c:pt idx="1">
                  <c:v>【電子化後】</c:v>
                </c:pt>
                <c:pt idx="2">
                  <c:v>請求</c:v>
                </c:pt>
                <c:pt idx="4">
                  <c:v>【電子化後】</c:v>
                </c:pt>
                <c:pt idx="5">
                  <c:v>出来高調書・出来高査定</c:v>
                </c:pt>
                <c:pt idx="7">
                  <c:v>【電子化後】</c:v>
                </c:pt>
                <c:pt idx="8">
                  <c:v>契約（注文書の受け取り)</c:v>
                </c:pt>
                <c:pt idx="10">
                  <c:v>【電子化後】</c:v>
                </c:pt>
                <c:pt idx="11">
                  <c:v>契約（注文書の発行)</c:v>
                </c:pt>
                <c:pt idx="13">
                  <c:v>【電子化後】</c:v>
                </c:pt>
                <c:pt idx="14">
                  <c:v>購買見積回答・見積比較</c:v>
                </c:pt>
                <c:pt idx="16">
                  <c:v>【電子化後】</c:v>
                </c:pt>
                <c:pt idx="17">
                  <c:v>購買見積依頼</c:v>
                </c:pt>
              </c:strCache>
            </c:strRef>
          </c:cat>
          <c:val>
            <c:numRef>
              <c:f>●削減効果!$AA$53:$AA$70</c:f>
              <c:numCache>
                <c:formatCode>"¥"#,##0_);\("¥"#,##0\)</c:formatCode>
                <c:ptCount val="18"/>
                <c:pt idx="1">
                  <c:v>0</c:v>
                </c:pt>
                <c:pt idx="2">
                  <c:v>0</c:v>
                </c:pt>
                <c:pt idx="4">
                  <c:v>0</c:v>
                </c:pt>
                <c:pt idx="5">
                  <c:v>0</c:v>
                </c:pt>
                <c:pt idx="7">
                  <c:v>0</c:v>
                </c:pt>
                <c:pt idx="8">
                  <c:v>7.8000000000000007</c:v>
                </c:pt>
                <c:pt idx="10">
                  <c:v>0</c:v>
                </c:pt>
                <c:pt idx="11">
                  <c:v>120.6</c:v>
                </c:pt>
                <c:pt idx="13">
                  <c:v>0</c:v>
                </c:pt>
                <c:pt idx="14">
                  <c:v>0</c:v>
                </c:pt>
                <c:pt idx="16">
                  <c:v>0</c:v>
                </c:pt>
                <c:pt idx="17" formatCode="&quot;¥&quot;#,##0.00_);\(&quot;¥&quot;#,##0.00\)">
                  <c:v>0</c:v>
                </c:pt>
              </c:numCache>
            </c:numRef>
          </c:val>
        </c:ser>
        <c:dLbls>
          <c:showLegendKey val="0"/>
          <c:showVal val="0"/>
          <c:showCatName val="0"/>
          <c:showSerName val="0"/>
          <c:showPercent val="0"/>
          <c:showBubbleSize val="0"/>
        </c:dLbls>
        <c:gapWidth val="20"/>
        <c:overlap val="100"/>
        <c:axId val="67341696"/>
        <c:axId val="67343488"/>
      </c:barChart>
      <c:catAx>
        <c:axId val="67341696"/>
        <c:scaling>
          <c:orientation val="minMax"/>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67343488"/>
        <c:crosses val="autoZero"/>
        <c:auto val="1"/>
        <c:lblAlgn val="ctr"/>
        <c:lblOffset val="100"/>
        <c:tickLblSkip val="1"/>
        <c:tickMarkSkip val="1"/>
        <c:noMultiLvlLbl val="0"/>
      </c:catAx>
      <c:valAx>
        <c:axId val="67343488"/>
        <c:scaling>
          <c:orientation val="minMax"/>
        </c:scaling>
        <c:delete val="0"/>
        <c:axPos val="b"/>
        <c:numFmt formatCode="General" sourceLinked="1"/>
        <c:majorTickMark val="in"/>
        <c:minorTickMark val="none"/>
        <c:tickLblPos val="none"/>
        <c:spPr>
          <a:ln w="3175">
            <a:solidFill>
              <a:srgbClr val="000000"/>
            </a:solidFill>
            <a:prstDash val="solid"/>
          </a:ln>
        </c:spPr>
        <c:crossAx val="67341696"/>
        <c:crosses val="autoZero"/>
        <c:crossBetween val="between"/>
      </c:valAx>
      <c:spPr>
        <a:gradFill rotWithShape="0">
          <a:gsLst>
            <a:gs pos="0">
              <a:srgbClr xmlns:mc="http://schemas.openxmlformats.org/markup-compatibility/2006" xmlns:a14="http://schemas.microsoft.com/office/drawing/2010/main" val="C0C0C0" mc:Ignorable="a14" a14:legacySpreadsheetColorIndex="22"/>
            </a:gs>
            <a:gs pos="50000">
              <a:srgbClr xmlns:mc="http://schemas.openxmlformats.org/markup-compatibility/2006" xmlns:a14="http://schemas.microsoft.com/office/drawing/2010/main" val="DDDDDD" mc:Ignorable="a14" a14:legacySpreadsheetColorIndex="22">
                <a:gamma/>
                <a:tint val="53725"/>
                <a:invGamma/>
              </a:srgbClr>
            </a:gs>
            <a:gs pos="100000">
              <a:srgbClr xmlns:mc="http://schemas.openxmlformats.org/markup-compatibility/2006" xmlns:a14="http://schemas.microsoft.com/office/drawing/2010/main" val="C0C0C0" mc:Ignorable="a14" a14:legacySpreadsheetColorIndex="22"/>
            </a:gs>
          </a:gsLst>
          <a:lin ang="2700000" scaled="1"/>
        </a:gradFill>
        <a:ln w="12700">
          <a:solidFill>
            <a:srgbClr val="808080"/>
          </a:solidFill>
          <a:prstDash val="solid"/>
        </a:ln>
      </c:spPr>
    </c:plotArea>
    <c:legend>
      <c:legendPos val="r"/>
      <c:layout>
        <c:manualLayout>
          <c:xMode val="edge"/>
          <c:yMode val="edge"/>
          <c:wMode val="edge"/>
          <c:hMode val="edge"/>
          <c:x val="0.80564683486225452"/>
          <c:y val="0.70158102766798414"/>
          <c:w val="0.9934863679499345"/>
          <c:h val="0.95059288537549402"/>
        </c:manualLayout>
      </c:layout>
      <c:overlay val="0"/>
      <c:spPr>
        <a:solidFill>
          <a:srgbClr val="FFFFFF"/>
        </a:solidFill>
        <a:ln w="3175">
          <a:solidFill>
            <a:srgbClr val="000000"/>
          </a:solidFill>
          <a:prstDash val="solid"/>
        </a:ln>
      </c:spPr>
      <c:txPr>
        <a:bodyPr/>
        <a:lstStyle/>
        <a:p>
          <a:pPr>
            <a:defRPr sz="920" b="0" i="0" u="none" strike="noStrike" baseline="0">
              <a:solidFill>
                <a:srgbClr val="000000"/>
              </a:solidFill>
              <a:latin typeface="ＭＳ Ｐゴシック"/>
              <a:ea typeface="ＭＳ Ｐゴシック"/>
              <a:cs typeface="ＭＳ Ｐゴシック"/>
            </a:defRPr>
          </a:pPr>
          <a:endParaRPr lang="ja-JP"/>
        </a:p>
      </c:txPr>
    </c:legend>
    <c:plotVisOnly val="1"/>
    <c:dispBlanksAs val="gap"/>
    <c:showDLblsOverMax val="0"/>
  </c:chart>
  <c:spPr>
    <a:solidFill>
      <a:srgbClr val="FFFFFF"/>
    </a:solidFill>
    <a:ln w="3175">
      <a:solidFill>
        <a:srgbClr val="000000"/>
      </a:solidFill>
      <a:prstDash val="solid"/>
    </a:ln>
  </c:spPr>
  <c:txPr>
    <a:bodyPr/>
    <a:lstStyle/>
    <a:p>
      <a:pPr>
        <a:defRPr sz="16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0"/>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975" b="0" i="0" u="none" strike="noStrike" baseline="0">
                <a:solidFill>
                  <a:srgbClr val="000000"/>
                </a:solidFill>
                <a:latin typeface="HGS創英角ｺﾞｼｯｸUB"/>
                <a:ea typeface="HGS創英角ｺﾞｼｯｸUB"/>
                <a:cs typeface="HGS創英角ｺﾞｼｯｸUB"/>
              </a:defRPr>
            </a:pPr>
            <a:r>
              <a:rPr altLang="en-US"/>
              <a:t>各業務の導入前・導入後コスト状況グラフ</a:t>
            </a:r>
          </a:p>
        </c:rich>
      </c:tx>
      <c:layout>
        <c:manualLayout>
          <c:xMode val="edge"/>
          <c:yMode val="edge"/>
          <c:x val="0.3504478865514945"/>
          <c:y val="2.4564994882292732E-2"/>
        </c:manualLayout>
      </c:layout>
      <c:overlay val="0"/>
      <c:spPr>
        <a:noFill/>
        <a:ln w="25400">
          <a:noFill/>
        </a:ln>
      </c:spPr>
    </c:title>
    <c:autoTitleDeleted val="0"/>
    <c:plotArea>
      <c:layout>
        <c:manualLayout>
          <c:layoutTarget val="inner"/>
          <c:xMode val="edge"/>
          <c:yMode val="edge"/>
          <c:x val="0.30686576109659547"/>
          <c:y val="9.0071647901740021E-2"/>
          <c:w val="0.6394031714678089"/>
          <c:h val="0.73592630501535317"/>
        </c:manualLayout>
      </c:layout>
      <c:barChart>
        <c:barDir val="col"/>
        <c:grouping val="stacked"/>
        <c:varyColors val="0"/>
        <c:ser>
          <c:idx val="2"/>
          <c:order val="2"/>
          <c:tx>
            <c:strRef>
              <c:f>'&lt;参考&gt;●総コスト算出WS'!$AB$32</c:f>
              <c:strCache>
                <c:ptCount val="1"/>
              </c:strCache>
            </c:strRef>
          </c:tx>
          <c:spPr>
            <a:solidFill>
              <a:srgbClr val="FF6600"/>
            </a:solidFill>
            <a:ln w="25400">
              <a:solidFill>
                <a:srgbClr val="969696"/>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'&lt;参考&gt;●総コスト算出WS'!$AC$32:$BI$32</c:f>
              <c:numCache>
                <c:formatCode>"¥"#,##0_);\("¥"#,##0\)</c:formatCode>
                <c:ptCount val="33"/>
                <c:pt idx="0">
                  <c:v>0</c:v>
                </c:pt>
                <c:pt idx="3">
                  <c:v>0</c:v>
                </c:pt>
                <c:pt idx="6">
                  <c:v>0</c:v>
                </c:pt>
                <c:pt idx="9">
                  <c:v>0</c:v>
                </c:pt>
                <c:pt idx="12">
                  <c:v>0</c:v>
                </c:pt>
                <c:pt idx="15">
                  <c:v>0</c:v>
                </c:pt>
                <c:pt idx="18">
                  <c:v>0</c:v>
                </c:pt>
                <c:pt idx="21">
                  <c:v>0</c:v>
                </c:pt>
                <c:pt idx="24">
                  <c:v>0</c:v>
                </c:pt>
                <c:pt idx="27">
                  <c:v>0</c:v>
                </c:pt>
                <c:pt idx="30">
                  <c:v>0</c:v>
                </c:pt>
              </c:numCache>
            </c:numRef>
          </c:val>
        </c:ser>
        <c:ser>
          <c:idx val="3"/>
          <c:order val="3"/>
          <c:tx>
            <c:strRef>
              <c:f>'&lt;参考&gt;●総コスト算出WS'!$AB$33</c:f>
              <c:strCache>
                <c:ptCount val="1"/>
                <c:pt idx="0">
                  <c:v>購買見積依頼</c:v>
                </c:pt>
              </c:strCache>
            </c:strRef>
          </c:tx>
          <c:spPr>
            <a:solidFill>
              <a:srgbClr val="FF6600"/>
            </a:solidFill>
            <a:ln w="12700">
              <a:solidFill>
                <a:srgbClr val="000000"/>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'&lt;参考&gt;●総コスト算出WS'!$AC$33:$BI$33</c:f>
              <c:numCache>
                <c:formatCode>"¥"#,##0_);\("¥"#,##0\)</c:formatCode>
                <c:ptCount val="33"/>
                <c:pt idx="1">
                  <c:v>0</c:v>
                </c:pt>
                <c:pt idx="4">
                  <c:v>0</c:v>
                </c:pt>
                <c:pt idx="7">
                  <c:v>0</c:v>
                </c:pt>
                <c:pt idx="10">
                  <c:v>0</c:v>
                </c:pt>
                <c:pt idx="13">
                  <c:v>0</c:v>
                </c:pt>
                <c:pt idx="16">
                  <c:v>0</c:v>
                </c:pt>
                <c:pt idx="19">
                  <c:v>0</c:v>
                </c:pt>
                <c:pt idx="22">
                  <c:v>0</c:v>
                </c:pt>
                <c:pt idx="25">
                  <c:v>0</c:v>
                </c:pt>
                <c:pt idx="28">
                  <c:v>0</c:v>
                </c:pt>
                <c:pt idx="31">
                  <c:v>0</c:v>
                </c:pt>
              </c:numCache>
            </c:numRef>
          </c:val>
        </c:ser>
        <c:ser>
          <c:idx val="4"/>
          <c:order val="4"/>
          <c:tx>
            <c:strRef>
              <c:f>'&lt;参考&gt;●総コスト算出WS'!$AB$34</c:f>
              <c:strCache>
                <c:ptCount val="1"/>
              </c:strCache>
            </c:strRef>
          </c:tx>
          <c:spPr>
            <a:solidFill>
              <a:srgbClr val="FFCC00"/>
            </a:solidFill>
            <a:ln w="25400">
              <a:solidFill>
                <a:srgbClr val="969696"/>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'&lt;参考&gt;●総コスト算出WS'!$AC$34:$BI$34</c:f>
              <c:numCache>
                <c:formatCode>General</c:formatCode>
                <c:ptCount val="33"/>
                <c:pt idx="0" formatCode="&quot;¥&quot;#,##0_);\(&quot;¥&quot;#,##0\)">
                  <c:v>0</c:v>
                </c:pt>
                <c:pt idx="3" formatCode="&quot;¥&quot;#,##0_);\(&quot;¥&quot;#,##0\)">
                  <c:v>0</c:v>
                </c:pt>
                <c:pt idx="6" formatCode="&quot;¥&quot;#,##0_);\(&quot;¥&quot;#,##0\)">
                  <c:v>0</c:v>
                </c:pt>
                <c:pt idx="9" formatCode="&quot;¥&quot;#,##0_);\(&quot;¥&quot;#,##0\)">
                  <c:v>0</c:v>
                </c:pt>
                <c:pt idx="12" formatCode="&quot;¥&quot;#,##0_);\(&quot;¥&quot;#,##0\)">
                  <c:v>0</c:v>
                </c:pt>
                <c:pt idx="15" formatCode="&quot;¥&quot;#,##0_);\(&quot;¥&quot;#,##0\)">
                  <c:v>0</c:v>
                </c:pt>
                <c:pt idx="18" formatCode="&quot;¥&quot;#,##0_);\(&quot;¥&quot;#,##0\)">
                  <c:v>0</c:v>
                </c:pt>
                <c:pt idx="21" formatCode="&quot;¥&quot;#,##0_);\(&quot;¥&quot;#,##0\)">
                  <c:v>0</c:v>
                </c:pt>
                <c:pt idx="24" formatCode="&quot;¥&quot;#,##0_);\(&quot;¥&quot;#,##0\)">
                  <c:v>0</c:v>
                </c:pt>
                <c:pt idx="27" formatCode="&quot;¥&quot;#,##0_);\(&quot;¥&quot;#,##0\)">
                  <c:v>0</c:v>
                </c:pt>
                <c:pt idx="30" formatCode="&quot;¥&quot;#,##0_);\(&quot;¥&quot;#,##0\)">
                  <c:v>0</c:v>
                </c:pt>
              </c:numCache>
            </c:numRef>
          </c:val>
        </c:ser>
        <c:ser>
          <c:idx val="5"/>
          <c:order val="5"/>
          <c:tx>
            <c:strRef>
              <c:f>'&lt;参考&gt;●総コスト算出WS'!$AB$35</c:f>
              <c:strCache>
                <c:ptCount val="1"/>
                <c:pt idx="0">
                  <c:v>購買見積回答・見積比較</c:v>
                </c:pt>
              </c:strCache>
            </c:strRef>
          </c:tx>
          <c:spPr>
            <a:solidFill>
              <a:srgbClr val="FFCC00"/>
            </a:solidFill>
            <a:ln w="12700">
              <a:solidFill>
                <a:srgbClr val="000000"/>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'&lt;参考&gt;●総コスト算出WS'!$AC$35:$BI$35</c:f>
              <c:numCache>
                <c:formatCode>"¥"#,##0_);\("¥"#,##0\)</c:formatCode>
                <c:ptCount val="33"/>
                <c:pt idx="1">
                  <c:v>0</c:v>
                </c:pt>
                <c:pt idx="4">
                  <c:v>0</c:v>
                </c:pt>
                <c:pt idx="7">
                  <c:v>0</c:v>
                </c:pt>
                <c:pt idx="10">
                  <c:v>0</c:v>
                </c:pt>
                <c:pt idx="13">
                  <c:v>0</c:v>
                </c:pt>
                <c:pt idx="16">
                  <c:v>0</c:v>
                </c:pt>
                <c:pt idx="19">
                  <c:v>0</c:v>
                </c:pt>
                <c:pt idx="22">
                  <c:v>0</c:v>
                </c:pt>
                <c:pt idx="25">
                  <c:v>0</c:v>
                </c:pt>
                <c:pt idx="28">
                  <c:v>0</c:v>
                </c:pt>
                <c:pt idx="31">
                  <c:v>0</c:v>
                </c:pt>
              </c:numCache>
            </c:numRef>
          </c:val>
        </c:ser>
        <c:ser>
          <c:idx val="6"/>
          <c:order val="6"/>
          <c:tx>
            <c:strRef>
              <c:f>'&lt;参考&gt;●総コスト算出WS'!$AB$36</c:f>
              <c:strCache>
                <c:ptCount val="1"/>
              </c:strCache>
            </c:strRef>
          </c:tx>
          <c:spPr>
            <a:solidFill>
              <a:srgbClr val="3366FF"/>
            </a:solidFill>
            <a:ln w="25400">
              <a:solidFill>
                <a:srgbClr val="969696"/>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'&lt;参考&gt;●総コスト算出WS'!$AC$36:$BI$36</c:f>
              <c:numCache>
                <c:formatCode>General</c:formatCode>
                <c:ptCount val="33"/>
                <c:pt idx="0" formatCode="&quot;¥&quot;#,##0_);\(&quot;¥&quot;#,##0\)">
                  <c:v>7489440</c:v>
                </c:pt>
                <c:pt idx="3" formatCode="&quot;¥&quot;#,##0_);\(&quot;¥&quot;#,##0\)">
                  <c:v>7489440</c:v>
                </c:pt>
                <c:pt idx="6" formatCode="&quot;¥&quot;#,##0_);\(&quot;¥&quot;#,##0\)">
                  <c:v>7489440</c:v>
                </c:pt>
                <c:pt idx="9" formatCode="&quot;¥&quot;#,##0_);\(&quot;¥&quot;#,##0\)">
                  <c:v>7489440</c:v>
                </c:pt>
                <c:pt idx="12" formatCode="&quot;¥&quot;#,##0_);\(&quot;¥&quot;#,##0\)">
                  <c:v>7489440</c:v>
                </c:pt>
                <c:pt idx="15" formatCode="&quot;¥&quot;#,##0_);\(&quot;¥&quot;#,##0\)">
                  <c:v>7489440</c:v>
                </c:pt>
                <c:pt idx="18" formatCode="&quot;¥&quot;#,##0_);\(&quot;¥&quot;#,##0\)">
                  <c:v>7489440</c:v>
                </c:pt>
                <c:pt idx="21" formatCode="&quot;¥&quot;#,##0_);\(&quot;¥&quot;#,##0\)">
                  <c:v>7489440</c:v>
                </c:pt>
                <c:pt idx="24" formatCode="&quot;¥&quot;#,##0_);\(&quot;¥&quot;#,##0\)">
                  <c:v>7489440</c:v>
                </c:pt>
                <c:pt idx="27" formatCode="&quot;¥&quot;#,##0_);\(&quot;¥&quot;#,##0\)">
                  <c:v>7489440</c:v>
                </c:pt>
                <c:pt idx="30" formatCode="&quot;¥&quot;#,##0_);\(&quot;¥&quot;#,##0\)">
                  <c:v>7489440</c:v>
                </c:pt>
              </c:numCache>
            </c:numRef>
          </c:val>
        </c:ser>
        <c:ser>
          <c:idx val="7"/>
          <c:order val="7"/>
          <c:tx>
            <c:strRef>
              <c:f>'&lt;参考&gt;●総コスト算出WS'!$AB$37</c:f>
              <c:strCache>
                <c:ptCount val="1"/>
                <c:pt idx="0">
                  <c:v>契約（注文書の発行）</c:v>
                </c:pt>
              </c:strCache>
            </c:strRef>
          </c:tx>
          <c:spPr>
            <a:solidFill>
              <a:srgbClr val="3366FF"/>
            </a:solidFill>
            <a:ln w="12700">
              <a:solidFill>
                <a:srgbClr val="000000"/>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'&lt;参考&gt;●総コスト算出WS'!$AC$37:$BI$37</c:f>
              <c:numCache>
                <c:formatCode>"¥"#,##0_);\("¥"#,##0\)</c:formatCode>
                <c:ptCount val="33"/>
                <c:pt idx="1">
                  <c:v>7489440</c:v>
                </c:pt>
                <c:pt idx="4">
                  <c:v>7489440</c:v>
                </c:pt>
                <c:pt idx="7">
                  <c:v>6841713.5999999996</c:v>
                </c:pt>
                <c:pt idx="10">
                  <c:v>6653664</c:v>
                </c:pt>
                <c:pt idx="13">
                  <c:v>6444720</c:v>
                </c:pt>
                <c:pt idx="16">
                  <c:v>6235776</c:v>
                </c:pt>
                <c:pt idx="19">
                  <c:v>6235776</c:v>
                </c:pt>
                <c:pt idx="22">
                  <c:v>6235776</c:v>
                </c:pt>
                <c:pt idx="25">
                  <c:v>6235776</c:v>
                </c:pt>
                <c:pt idx="28">
                  <c:v>6235776</c:v>
                </c:pt>
                <c:pt idx="31">
                  <c:v>6235776</c:v>
                </c:pt>
              </c:numCache>
            </c:numRef>
          </c:val>
        </c:ser>
        <c:ser>
          <c:idx val="8"/>
          <c:order val="8"/>
          <c:tx>
            <c:strRef>
              <c:f>'&lt;参考&gt;●総コスト算出WS'!$AB$38</c:f>
              <c:strCache>
                <c:ptCount val="1"/>
              </c:strCache>
            </c:strRef>
          </c:tx>
          <c:spPr>
            <a:solidFill>
              <a:srgbClr val="33CCCC"/>
            </a:solidFill>
            <a:ln w="25400">
              <a:solidFill>
                <a:srgbClr val="969696"/>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'&lt;参考&gt;●総コスト算出WS'!$AC$38:$BI$38</c:f>
              <c:numCache>
                <c:formatCode>General</c:formatCode>
                <c:ptCount val="33"/>
                <c:pt idx="0" formatCode="&quot;¥&quot;#,##0_);\(&quot;¥&quot;#,##0\)">
                  <c:v>378720</c:v>
                </c:pt>
                <c:pt idx="3" formatCode="&quot;¥&quot;#,##0_);\(&quot;¥&quot;#,##0\)">
                  <c:v>378720</c:v>
                </c:pt>
                <c:pt idx="6" formatCode="&quot;¥&quot;#,##0_);\(&quot;¥&quot;#,##0\)">
                  <c:v>378720</c:v>
                </c:pt>
                <c:pt idx="9" formatCode="&quot;¥&quot;#,##0_);\(&quot;¥&quot;#,##0\)">
                  <c:v>378720</c:v>
                </c:pt>
                <c:pt idx="12" formatCode="&quot;¥&quot;#,##0_);\(&quot;¥&quot;#,##0\)">
                  <c:v>378720</c:v>
                </c:pt>
                <c:pt idx="15" formatCode="&quot;¥&quot;#,##0_);\(&quot;¥&quot;#,##0\)">
                  <c:v>378720</c:v>
                </c:pt>
                <c:pt idx="18" formatCode="&quot;¥&quot;#,##0_);\(&quot;¥&quot;#,##0\)">
                  <c:v>378720</c:v>
                </c:pt>
                <c:pt idx="21" formatCode="&quot;¥&quot;#,##0_);\(&quot;¥&quot;#,##0\)">
                  <c:v>378720</c:v>
                </c:pt>
                <c:pt idx="24" formatCode="&quot;¥&quot;#,##0_);\(&quot;¥&quot;#,##0\)">
                  <c:v>378720</c:v>
                </c:pt>
                <c:pt idx="27" formatCode="&quot;¥&quot;#,##0_);\(&quot;¥&quot;#,##0\)">
                  <c:v>378720</c:v>
                </c:pt>
                <c:pt idx="30" formatCode="&quot;¥&quot;#,##0_);\(&quot;¥&quot;#,##0\)">
                  <c:v>378720</c:v>
                </c:pt>
              </c:numCache>
            </c:numRef>
          </c:val>
        </c:ser>
        <c:ser>
          <c:idx val="9"/>
          <c:order val="9"/>
          <c:tx>
            <c:strRef>
              <c:f>'&lt;参考&gt;●総コスト算出WS'!$AB$39</c:f>
              <c:strCache>
                <c:ptCount val="1"/>
                <c:pt idx="0">
                  <c:v>契約（注文書の受け取り）</c:v>
                </c:pt>
              </c:strCache>
            </c:strRef>
          </c:tx>
          <c:spPr>
            <a:solidFill>
              <a:srgbClr val="33CCCC"/>
            </a:solidFill>
            <a:ln w="12700">
              <a:solidFill>
                <a:srgbClr val="000000"/>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'&lt;参考&gt;●総コスト算出WS'!$AC$39:$BI$39</c:f>
              <c:numCache>
                <c:formatCode>"¥"#,##0_);\("¥"#,##0\)</c:formatCode>
                <c:ptCount val="33"/>
                <c:pt idx="1">
                  <c:v>378720</c:v>
                </c:pt>
                <c:pt idx="4">
                  <c:v>378720</c:v>
                </c:pt>
                <c:pt idx="7">
                  <c:v>372916.8</c:v>
                </c:pt>
                <c:pt idx="10">
                  <c:v>371232</c:v>
                </c:pt>
                <c:pt idx="13">
                  <c:v>369360</c:v>
                </c:pt>
                <c:pt idx="16">
                  <c:v>367488</c:v>
                </c:pt>
                <c:pt idx="19">
                  <c:v>367488</c:v>
                </c:pt>
                <c:pt idx="22">
                  <c:v>367488</c:v>
                </c:pt>
                <c:pt idx="25">
                  <c:v>367488</c:v>
                </c:pt>
                <c:pt idx="28">
                  <c:v>367488</c:v>
                </c:pt>
                <c:pt idx="31">
                  <c:v>367488</c:v>
                </c:pt>
              </c:numCache>
            </c:numRef>
          </c:val>
        </c:ser>
        <c:ser>
          <c:idx val="10"/>
          <c:order val="10"/>
          <c:tx>
            <c:strRef>
              <c:f>'&lt;参考&gt;●総コスト算出WS'!$AB$40</c:f>
              <c:strCache>
                <c:ptCount val="1"/>
              </c:strCache>
            </c:strRef>
          </c:tx>
          <c:spPr>
            <a:solidFill>
              <a:srgbClr val="339966"/>
            </a:solidFill>
            <a:ln w="25400">
              <a:solidFill>
                <a:srgbClr val="969696"/>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'&lt;参考&gt;●総コスト算出WS'!$AC$40:$BI$40</c:f>
              <c:numCache>
                <c:formatCode>General</c:formatCode>
                <c:ptCount val="33"/>
                <c:pt idx="0" formatCode="&quot;¥&quot;#,##0_);\(&quot;¥&quot;#,##0\)">
                  <c:v>0</c:v>
                </c:pt>
                <c:pt idx="3" formatCode="&quot;¥&quot;#,##0_);\(&quot;¥&quot;#,##0\)">
                  <c:v>0</c:v>
                </c:pt>
                <c:pt idx="6" formatCode="&quot;¥&quot;#,##0_);\(&quot;¥&quot;#,##0\)">
                  <c:v>0</c:v>
                </c:pt>
                <c:pt idx="9" formatCode="&quot;¥&quot;#,##0_);\(&quot;¥&quot;#,##0\)">
                  <c:v>0</c:v>
                </c:pt>
                <c:pt idx="12" formatCode="&quot;¥&quot;#,##0_);\(&quot;¥&quot;#,##0\)">
                  <c:v>0</c:v>
                </c:pt>
                <c:pt idx="15" formatCode="&quot;¥&quot;#,##0_);\(&quot;¥&quot;#,##0\)">
                  <c:v>0</c:v>
                </c:pt>
                <c:pt idx="18" formatCode="&quot;¥&quot;#,##0_);\(&quot;¥&quot;#,##0\)">
                  <c:v>0</c:v>
                </c:pt>
                <c:pt idx="21" formatCode="&quot;¥&quot;#,##0_);\(&quot;¥&quot;#,##0\)">
                  <c:v>0</c:v>
                </c:pt>
                <c:pt idx="24" formatCode="&quot;¥&quot;#,##0_);\(&quot;¥&quot;#,##0\)">
                  <c:v>0</c:v>
                </c:pt>
                <c:pt idx="27" formatCode="&quot;¥&quot;#,##0_);\(&quot;¥&quot;#,##0\)">
                  <c:v>0</c:v>
                </c:pt>
                <c:pt idx="30" formatCode="&quot;¥&quot;#,##0_);\(&quot;¥&quot;#,##0\)">
                  <c:v>0</c:v>
                </c:pt>
              </c:numCache>
            </c:numRef>
          </c:val>
        </c:ser>
        <c:ser>
          <c:idx val="11"/>
          <c:order val="11"/>
          <c:tx>
            <c:strRef>
              <c:f>'&lt;参考&gt;●総コスト算出WS'!$AB$41</c:f>
              <c:strCache>
                <c:ptCount val="1"/>
                <c:pt idx="0">
                  <c:v>出来高調書・出来高査定</c:v>
                </c:pt>
              </c:strCache>
            </c:strRef>
          </c:tx>
          <c:spPr>
            <a:solidFill>
              <a:srgbClr val="339966"/>
            </a:solidFill>
            <a:ln w="12700">
              <a:solidFill>
                <a:srgbClr val="000000"/>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'&lt;参考&gt;●総コスト算出WS'!$AC$41:$BI$41</c:f>
              <c:numCache>
                <c:formatCode>"¥"#,##0_);\("¥"#,##0\)</c:formatCode>
                <c:ptCount val="33"/>
                <c:pt idx="1">
                  <c:v>0</c:v>
                </c:pt>
                <c:pt idx="4">
                  <c:v>0</c:v>
                </c:pt>
                <c:pt idx="7">
                  <c:v>0</c:v>
                </c:pt>
                <c:pt idx="10">
                  <c:v>0</c:v>
                </c:pt>
                <c:pt idx="13">
                  <c:v>0</c:v>
                </c:pt>
                <c:pt idx="16">
                  <c:v>0</c:v>
                </c:pt>
                <c:pt idx="19">
                  <c:v>0</c:v>
                </c:pt>
                <c:pt idx="22">
                  <c:v>0</c:v>
                </c:pt>
                <c:pt idx="25">
                  <c:v>0</c:v>
                </c:pt>
                <c:pt idx="28">
                  <c:v>0</c:v>
                </c:pt>
                <c:pt idx="31">
                  <c:v>0</c:v>
                </c:pt>
              </c:numCache>
            </c:numRef>
          </c:val>
        </c:ser>
        <c:ser>
          <c:idx val="12"/>
          <c:order val="12"/>
          <c:tx>
            <c:strRef>
              <c:f>'&lt;参考&gt;●総コスト算出WS'!$AB$42</c:f>
              <c:strCache>
                <c:ptCount val="1"/>
              </c:strCache>
            </c:strRef>
          </c:tx>
          <c:spPr>
            <a:solidFill>
              <a:srgbClr val="CCFFCC"/>
            </a:solidFill>
            <a:ln w="25400">
              <a:solidFill>
                <a:srgbClr val="969696"/>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'&lt;参考&gt;●総コスト算出WS'!$AC$42:$BI$42</c:f>
              <c:numCache>
                <c:formatCode>General</c:formatCode>
                <c:ptCount val="33"/>
                <c:pt idx="0" formatCode="&quot;¥&quot;#,##0_);\(&quot;¥&quot;#,##0\)">
                  <c:v>0</c:v>
                </c:pt>
                <c:pt idx="3" formatCode="&quot;¥&quot;#,##0_);\(&quot;¥&quot;#,##0\)">
                  <c:v>0</c:v>
                </c:pt>
                <c:pt idx="6" formatCode="&quot;¥&quot;#,##0_);\(&quot;¥&quot;#,##0\)">
                  <c:v>0</c:v>
                </c:pt>
                <c:pt idx="9" formatCode="&quot;¥&quot;#,##0_);\(&quot;¥&quot;#,##0\)">
                  <c:v>0</c:v>
                </c:pt>
                <c:pt idx="12" formatCode="&quot;¥&quot;#,##0_);\(&quot;¥&quot;#,##0\)">
                  <c:v>0</c:v>
                </c:pt>
                <c:pt idx="15" formatCode="&quot;¥&quot;#,##0_);\(&quot;¥&quot;#,##0\)">
                  <c:v>0</c:v>
                </c:pt>
                <c:pt idx="18" formatCode="&quot;¥&quot;#,##0_);\(&quot;¥&quot;#,##0\)">
                  <c:v>0</c:v>
                </c:pt>
                <c:pt idx="21" formatCode="&quot;¥&quot;#,##0_);\(&quot;¥&quot;#,##0\)">
                  <c:v>0</c:v>
                </c:pt>
                <c:pt idx="24" formatCode="&quot;¥&quot;#,##0_);\(&quot;¥&quot;#,##0\)">
                  <c:v>0</c:v>
                </c:pt>
                <c:pt idx="27" formatCode="&quot;¥&quot;#,##0_);\(&quot;¥&quot;#,##0\)">
                  <c:v>0</c:v>
                </c:pt>
                <c:pt idx="30" formatCode="&quot;¥&quot;#,##0_);\(&quot;¥&quot;#,##0\)">
                  <c:v>0</c:v>
                </c:pt>
              </c:numCache>
            </c:numRef>
          </c:val>
        </c:ser>
        <c:ser>
          <c:idx val="13"/>
          <c:order val="13"/>
          <c:tx>
            <c:strRef>
              <c:f>'&lt;参考&gt;●総コスト算出WS'!$AB$43</c:f>
              <c:strCache>
                <c:ptCount val="1"/>
                <c:pt idx="0">
                  <c:v>請求</c:v>
                </c:pt>
              </c:strCache>
            </c:strRef>
          </c:tx>
          <c:spPr>
            <a:solidFill>
              <a:srgbClr val="CCFFCC"/>
            </a:solidFill>
            <a:ln w="12700">
              <a:solidFill>
                <a:srgbClr val="000000"/>
              </a:solidFill>
              <a:prstDash val="solid"/>
            </a:ln>
          </c:spPr>
          <c:invertIfNegative val="0"/>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'&lt;参考&gt;●総コスト算出WS'!$AC$43:$BI$43</c:f>
              <c:numCache>
                <c:formatCode>"¥"#,##0_);\("¥"#,##0\)</c:formatCode>
                <c:ptCount val="33"/>
                <c:pt idx="1">
                  <c:v>0</c:v>
                </c:pt>
                <c:pt idx="4">
                  <c:v>0</c:v>
                </c:pt>
                <c:pt idx="7">
                  <c:v>0</c:v>
                </c:pt>
                <c:pt idx="10">
                  <c:v>0</c:v>
                </c:pt>
                <c:pt idx="13">
                  <c:v>0</c:v>
                </c:pt>
                <c:pt idx="16">
                  <c:v>0</c:v>
                </c:pt>
                <c:pt idx="19">
                  <c:v>0</c:v>
                </c:pt>
                <c:pt idx="22">
                  <c:v>0</c:v>
                </c:pt>
                <c:pt idx="25">
                  <c:v>0</c:v>
                </c:pt>
                <c:pt idx="28">
                  <c:v>0</c:v>
                </c:pt>
                <c:pt idx="31">
                  <c:v>0</c:v>
                </c:pt>
              </c:numCache>
            </c:numRef>
          </c:val>
        </c:ser>
        <c:dLbls>
          <c:showLegendKey val="0"/>
          <c:showVal val="0"/>
          <c:showCatName val="0"/>
          <c:showSerName val="0"/>
          <c:showPercent val="0"/>
          <c:showBubbleSize val="0"/>
        </c:dLbls>
        <c:gapWidth val="10"/>
        <c:overlap val="100"/>
        <c:axId val="304787840"/>
        <c:axId val="304789760"/>
      </c:barChart>
      <c:lineChart>
        <c:grouping val="standard"/>
        <c:varyColors val="0"/>
        <c:ser>
          <c:idx val="0"/>
          <c:order val="0"/>
          <c:tx>
            <c:strRef>
              <c:f>'&lt;参考&gt;●総コスト算出WS'!$AB$30</c:f>
              <c:strCache>
                <c:ptCount val="1"/>
                <c:pt idx="0">
                  <c:v>購買電子化率</c:v>
                </c:pt>
              </c:strCache>
            </c:strRef>
          </c:tx>
          <c:spPr>
            <a:ln w="25400">
              <a:solidFill>
                <a:srgbClr val="FF0000"/>
              </a:solidFill>
              <a:prstDash val="solid"/>
            </a:ln>
          </c:spPr>
          <c:marker>
            <c:symbol val="circle"/>
            <c:size val="7"/>
            <c:spPr>
              <a:solidFill>
                <a:srgbClr val="FF0000"/>
              </a:solidFill>
              <a:ln>
                <a:solidFill>
                  <a:srgbClr val="FFFFFF"/>
                </a:solidFill>
                <a:prstDash val="solid"/>
              </a:ln>
            </c:spPr>
          </c:marker>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'&lt;参考&gt;●総コスト算出WS'!$AC$30:$BI$30</c:f>
              <c:numCache>
                <c:formatCode>General</c:formatCode>
                <c:ptCount val="33"/>
                <c:pt idx="0" formatCode="0%">
                  <c:v>0</c:v>
                </c:pt>
                <c:pt idx="1">
                  <c:v>#N/A</c:v>
                </c:pt>
                <c:pt idx="2">
                  <c:v>#N/A</c:v>
                </c:pt>
                <c:pt idx="3" formatCode="0%">
                  <c:v>0</c:v>
                </c:pt>
                <c:pt idx="4">
                  <c:v>#N/A</c:v>
                </c:pt>
                <c:pt idx="5">
                  <c:v>#N/A</c:v>
                </c:pt>
                <c:pt idx="6" formatCode="0%">
                  <c:v>0.31</c:v>
                </c:pt>
                <c:pt idx="7">
                  <c:v>#N/A</c:v>
                </c:pt>
                <c:pt idx="8">
                  <c:v>#N/A</c:v>
                </c:pt>
                <c:pt idx="9" formatCode="0%">
                  <c:v>0.4</c:v>
                </c:pt>
                <c:pt idx="10">
                  <c:v>#N/A</c:v>
                </c:pt>
                <c:pt idx="11">
                  <c:v>#N/A</c:v>
                </c:pt>
                <c:pt idx="12" formatCode="0%">
                  <c:v>0.5</c:v>
                </c:pt>
                <c:pt idx="13">
                  <c:v>#N/A</c:v>
                </c:pt>
                <c:pt idx="14">
                  <c:v>#N/A</c:v>
                </c:pt>
                <c:pt idx="15" formatCode="0%">
                  <c:v>0.6</c:v>
                </c:pt>
                <c:pt idx="16">
                  <c:v>#N/A</c:v>
                </c:pt>
                <c:pt idx="17">
                  <c:v>#N/A</c:v>
                </c:pt>
                <c:pt idx="18" formatCode="0%">
                  <c:v>0.6</c:v>
                </c:pt>
                <c:pt idx="19">
                  <c:v>#N/A</c:v>
                </c:pt>
                <c:pt idx="20">
                  <c:v>#N/A</c:v>
                </c:pt>
                <c:pt idx="21" formatCode="0%">
                  <c:v>0.6</c:v>
                </c:pt>
                <c:pt idx="22">
                  <c:v>#N/A</c:v>
                </c:pt>
                <c:pt idx="23">
                  <c:v>#N/A</c:v>
                </c:pt>
                <c:pt idx="24" formatCode="0%">
                  <c:v>0.6</c:v>
                </c:pt>
                <c:pt idx="25">
                  <c:v>#N/A</c:v>
                </c:pt>
                <c:pt idx="26">
                  <c:v>#N/A</c:v>
                </c:pt>
                <c:pt idx="27" formatCode="0%">
                  <c:v>0.6</c:v>
                </c:pt>
                <c:pt idx="28">
                  <c:v>#N/A</c:v>
                </c:pt>
                <c:pt idx="29">
                  <c:v>#N/A</c:v>
                </c:pt>
                <c:pt idx="30" formatCode="0%">
                  <c:v>0.6</c:v>
                </c:pt>
                <c:pt idx="31">
                  <c:v>#N/A</c:v>
                </c:pt>
                <c:pt idx="32">
                  <c:v>#N/A</c:v>
                </c:pt>
              </c:numCache>
            </c:numRef>
          </c:val>
          <c:smooth val="0"/>
        </c:ser>
        <c:ser>
          <c:idx val="1"/>
          <c:order val="1"/>
          <c:tx>
            <c:strRef>
              <c:f>'&lt;参考&gt;●総コスト算出WS'!$AB$31</c:f>
              <c:strCache>
                <c:ptCount val="1"/>
                <c:pt idx="0">
                  <c:v>出来高電子化率</c:v>
                </c:pt>
              </c:strCache>
            </c:strRef>
          </c:tx>
          <c:spPr>
            <a:ln w="25400">
              <a:solidFill>
                <a:srgbClr val="0000FF"/>
              </a:solidFill>
              <a:prstDash val="solid"/>
            </a:ln>
          </c:spPr>
          <c:marker>
            <c:symbol val="circle"/>
            <c:size val="7"/>
            <c:spPr>
              <a:solidFill>
                <a:srgbClr val="0000FF"/>
              </a:solidFill>
              <a:ln>
                <a:solidFill>
                  <a:srgbClr val="FFFFFF"/>
                </a:solidFill>
                <a:prstDash val="solid"/>
              </a:ln>
            </c:spPr>
          </c:marker>
          <c:cat>
            <c:strRef>
              <c:f>'&lt;参考&gt;●総コスト算出WS'!$AC$29:$BI$29</c:f>
              <c:strCache>
                <c:ptCount val="31"/>
                <c:pt idx="0">
                  <c:v>導入年</c:v>
                </c:pt>
                <c:pt idx="3">
                  <c:v>1年後</c:v>
                </c:pt>
                <c:pt idx="6">
                  <c:v>2年後</c:v>
                </c:pt>
                <c:pt idx="9">
                  <c:v>3年後</c:v>
                </c:pt>
                <c:pt idx="12">
                  <c:v>4年後</c:v>
                </c:pt>
                <c:pt idx="15">
                  <c:v>5年後</c:v>
                </c:pt>
                <c:pt idx="18">
                  <c:v>6年後</c:v>
                </c:pt>
                <c:pt idx="21">
                  <c:v>7年後</c:v>
                </c:pt>
                <c:pt idx="24">
                  <c:v>8年後</c:v>
                </c:pt>
                <c:pt idx="27">
                  <c:v>9年後</c:v>
                </c:pt>
                <c:pt idx="30">
                  <c:v>10年後</c:v>
                </c:pt>
              </c:strCache>
            </c:strRef>
          </c:cat>
          <c:val>
            <c:numRef>
              <c:f>'&lt;参考&gt;●総コスト算出WS'!$AC$31:$BI$31</c:f>
              <c:numCache>
                <c:formatCode>General</c:formatCode>
                <c:ptCount val="33"/>
                <c:pt idx="0" formatCode="0%">
                  <c:v>0</c:v>
                </c:pt>
                <c:pt idx="1">
                  <c:v>#N/A</c:v>
                </c:pt>
                <c:pt idx="2">
                  <c:v>#N/A</c:v>
                </c:pt>
                <c:pt idx="3" formatCode="0%">
                  <c:v>0</c:v>
                </c:pt>
                <c:pt idx="4">
                  <c:v>#N/A</c:v>
                </c:pt>
                <c:pt idx="5">
                  <c:v>#N/A</c:v>
                </c:pt>
                <c:pt idx="6" formatCode="0%">
                  <c:v>0</c:v>
                </c:pt>
                <c:pt idx="7">
                  <c:v>#N/A</c:v>
                </c:pt>
                <c:pt idx="8">
                  <c:v>#N/A</c:v>
                </c:pt>
                <c:pt idx="9" formatCode="0%">
                  <c:v>0</c:v>
                </c:pt>
                <c:pt idx="10">
                  <c:v>#N/A</c:v>
                </c:pt>
                <c:pt idx="11">
                  <c:v>#N/A</c:v>
                </c:pt>
                <c:pt idx="12" formatCode="0%">
                  <c:v>0</c:v>
                </c:pt>
                <c:pt idx="13">
                  <c:v>#N/A</c:v>
                </c:pt>
                <c:pt idx="14">
                  <c:v>#N/A</c:v>
                </c:pt>
                <c:pt idx="15" formatCode="0%">
                  <c:v>0</c:v>
                </c:pt>
                <c:pt idx="16">
                  <c:v>#N/A</c:v>
                </c:pt>
                <c:pt idx="17">
                  <c:v>#N/A</c:v>
                </c:pt>
                <c:pt idx="18" formatCode="0%">
                  <c:v>0</c:v>
                </c:pt>
                <c:pt idx="19">
                  <c:v>#N/A</c:v>
                </c:pt>
                <c:pt idx="20">
                  <c:v>#N/A</c:v>
                </c:pt>
                <c:pt idx="21" formatCode="0%">
                  <c:v>0</c:v>
                </c:pt>
                <c:pt idx="22">
                  <c:v>#N/A</c:v>
                </c:pt>
                <c:pt idx="23">
                  <c:v>#N/A</c:v>
                </c:pt>
                <c:pt idx="24" formatCode="0%">
                  <c:v>0</c:v>
                </c:pt>
                <c:pt idx="25">
                  <c:v>#N/A</c:v>
                </c:pt>
                <c:pt idx="26">
                  <c:v>#N/A</c:v>
                </c:pt>
                <c:pt idx="27" formatCode="0%">
                  <c:v>0</c:v>
                </c:pt>
                <c:pt idx="28">
                  <c:v>#N/A</c:v>
                </c:pt>
                <c:pt idx="29">
                  <c:v>#N/A</c:v>
                </c:pt>
                <c:pt idx="30" formatCode="0%">
                  <c:v>0</c:v>
                </c:pt>
                <c:pt idx="31">
                  <c:v>#N/A</c:v>
                </c:pt>
                <c:pt idx="32">
                  <c:v>#N/A</c:v>
                </c:pt>
              </c:numCache>
            </c:numRef>
          </c:val>
          <c:smooth val="0"/>
        </c:ser>
        <c:dLbls>
          <c:showLegendKey val="0"/>
          <c:showVal val="0"/>
          <c:showCatName val="0"/>
          <c:showSerName val="0"/>
          <c:showPercent val="0"/>
          <c:showBubbleSize val="0"/>
        </c:dLbls>
        <c:marker val="1"/>
        <c:smooth val="0"/>
        <c:axId val="304973312"/>
        <c:axId val="304974848"/>
      </c:lineChart>
      <c:catAx>
        <c:axId val="304787840"/>
        <c:scaling>
          <c:orientation val="minMax"/>
        </c:scaling>
        <c:delete val="0"/>
        <c:axPos val="b"/>
        <c:numFmt formatCode="General" sourceLinked="1"/>
        <c:majorTickMark val="in"/>
        <c:minorTickMark val="none"/>
        <c:tickLblPos val="nextTo"/>
        <c:spPr>
          <a:ln w="3175">
            <a:solidFill>
              <a:srgbClr val="000000"/>
            </a:solidFill>
            <a:prstDash val="solid"/>
          </a:ln>
        </c:spPr>
        <c:txPr>
          <a:bodyPr rot="0" vert="wordArtVertRtl"/>
          <a:lstStyle/>
          <a:p>
            <a:pPr>
              <a:defRPr sz="1375" b="0" i="0" u="none" strike="noStrike" baseline="0">
                <a:solidFill>
                  <a:srgbClr val="000000"/>
                </a:solidFill>
                <a:latin typeface="ＭＳ Ｐゴシック"/>
                <a:ea typeface="ＭＳ Ｐゴシック"/>
                <a:cs typeface="ＭＳ Ｐゴシック"/>
              </a:defRPr>
            </a:pPr>
            <a:endParaRPr lang="ja-JP"/>
          </a:p>
        </c:txPr>
        <c:crossAx val="304789760"/>
        <c:crosses val="autoZero"/>
        <c:auto val="1"/>
        <c:lblAlgn val="ctr"/>
        <c:lblOffset val="100"/>
        <c:tickLblSkip val="1"/>
        <c:tickMarkSkip val="1"/>
        <c:noMultiLvlLbl val="0"/>
      </c:catAx>
      <c:valAx>
        <c:axId val="304789760"/>
        <c:scaling>
          <c:orientation val="minMax"/>
        </c:scaling>
        <c:delete val="0"/>
        <c:axPos val="l"/>
        <c:majorGridlines>
          <c:spPr>
            <a:ln w="3175">
              <a:solidFill>
                <a:srgbClr val="000000"/>
              </a:solidFill>
              <a:prstDash val="solid"/>
            </a:ln>
          </c:spPr>
        </c:majorGridlines>
        <c:title>
          <c:tx>
            <c:rich>
              <a:bodyPr/>
              <a:lstStyle/>
              <a:p>
                <a:pPr>
                  <a:defRPr sz="1950" b="0" i="0" u="none" strike="noStrike" baseline="0">
                    <a:solidFill>
                      <a:srgbClr val="000000"/>
                    </a:solidFill>
                    <a:latin typeface="ＭＳ Ｐゴシック"/>
                    <a:ea typeface="ＭＳ Ｐゴシック"/>
                    <a:cs typeface="ＭＳ Ｐゴシック"/>
                  </a:defRPr>
                </a:pPr>
                <a:r>
                  <a:rPr altLang="en-US"/>
                  <a:t>コスト</a:t>
                </a:r>
              </a:p>
            </c:rich>
          </c:tx>
          <c:layout>
            <c:manualLayout>
              <c:xMode val="edge"/>
              <c:yMode val="edge"/>
              <c:x val="0.19582095820112039"/>
              <c:y val="0.42272262026612079"/>
            </c:manualLayout>
          </c:layout>
          <c:overlay val="0"/>
          <c:spPr>
            <a:noFill/>
            <a:ln w="25400">
              <a:noFill/>
            </a:ln>
          </c:spPr>
        </c:title>
        <c:numFmt formatCode="General" sourceLinked="0"/>
        <c:majorTickMark val="in"/>
        <c:minorTickMark val="none"/>
        <c:tickLblPos val="nextTo"/>
        <c:spPr>
          <a:ln w="3175">
            <a:solidFill>
              <a:srgbClr val="000000"/>
            </a:solidFill>
            <a:prstDash val="solid"/>
          </a:ln>
        </c:spPr>
        <c:txPr>
          <a:bodyPr rot="0" vert="horz"/>
          <a:lstStyle/>
          <a:p>
            <a:pPr>
              <a:defRPr sz="1575" b="0" i="0" u="none" strike="noStrike" baseline="0">
                <a:solidFill>
                  <a:srgbClr val="000000"/>
                </a:solidFill>
                <a:latin typeface="ＭＳ Ｐゴシック"/>
                <a:ea typeface="ＭＳ Ｐゴシック"/>
                <a:cs typeface="ＭＳ Ｐゴシック"/>
              </a:defRPr>
            </a:pPr>
            <a:endParaRPr lang="ja-JP"/>
          </a:p>
        </c:txPr>
        <c:crossAx val="304787840"/>
        <c:crosses val="autoZero"/>
        <c:crossBetween val="between"/>
        <c:dispUnits>
          <c:builtInUnit val="millions"/>
          <c:dispUnitsLbl>
            <c:layout>
              <c:manualLayout>
                <c:xMode val="edge"/>
                <c:yMode val="edge"/>
                <c:x val="0.2191045414833668"/>
                <c:y val="9.0071647901740021E-2"/>
              </c:manualLayout>
            </c:layout>
            <c:spPr>
              <a:noFill/>
              <a:ln w="25400">
                <a:noFill/>
              </a:ln>
            </c:spPr>
            <c:txPr>
              <a:bodyPr rot="0" vert="wordArtVertRtl"/>
              <a:lstStyle/>
              <a:p>
                <a:pPr algn="ctr">
                  <a:defRPr sz="1950" b="1" i="0" u="none" strike="noStrike" baseline="0">
                    <a:solidFill>
                      <a:srgbClr val="000000"/>
                    </a:solidFill>
                    <a:latin typeface="ＭＳ Ｐゴシック"/>
                    <a:ea typeface="ＭＳ Ｐゴシック"/>
                    <a:cs typeface="ＭＳ Ｐゴシック"/>
                  </a:defRPr>
                </a:pPr>
                <a:endParaRPr lang="ja-JP"/>
              </a:p>
            </c:txPr>
          </c:dispUnitsLbl>
        </c:dispUnits>
      </c:valAx>
      <c:catAx>
        <c:axId val="304973312"/>
        <c:scaling>
          <c:orientation val="minMax"/>
        </c:scaling>
        <c:delete val="1"/>
        <c:axPos val="b"/>
        <c:majorTickMark val="out"/>
        <c:minorTickMark val="none"/>
        <c:tickLblPos val="nextTo"/>
        <c:crossAx val="304974848"/>
        <c:crosses val="autoZero"/>
        <c:auto val="1"/>
        <c:lblAlgn val="ctr"/>
        <c:lblOffset val="100"/>
        <c:noMultiLvlLbl val="0"/>
      </c:catAx>
      <c:valAx>
        <c:axId val="304974848"/>
        <c:scaling>
          <c:orientation val="minMax"/>
          <c:max val="1"/>
        </c:scaling>
        <c:delete val="0"/>
        <c:axPos val="r"/>
        <c:numFmt formatCode="0%" sourceLinked="1"/>
        <c:majorTickMark val="in"/>
        <c:minorTickMark val="none"/>
        <c:tickLblPos val="nextTo"/>
        <c:spPr>
          <a:ln w="3175">
            <a:solidFill>
              <a:srgbClr val="000000"/>
            </a:solidFill>
            <a:prstDash val="solid"/>
          </a:ln>
        </c:spPr>
        <c:txPr>
          <a:bodyPr rot="0" vert="horz"/>
          <a:lstStyle/>
          <a:p>
            <a:pPr>
              <a:defRPr sz="1575" b="0" i="0" u="none" strike="noStrike" baseline="0">
                <a:solidFill>
                  <a:srgbClr val="000000"/>
                </a:solidFill>
                <a:latin typeface="ＭＳ Ｐゴシック"/>
                <a:ea typeface="ＭＳ Ｐゴシック"/>
                <a:cs typeface="ＭＳ Ｐゴシック"/>
              </a:defRPr>
            </a:pPr>
            <a:endParaRPr lang="ja-JP"/>
          </a:p>
        </c:txPr>
        <c:crossAx val="304973312"/>
        <c:crosses val="max"/>
        <c:crossBetween val="between"/>
        <c:majorUnit val="0.1"/>
        <c:minorUnit val="0.02"/>
      </c:valAx>
      <c:spPr>
        <a:gradFill rotWithShape="0">
          <a:gsLst>
            <a:gs pos="0">
              <a:srgbClr xmlns:mc="http://schemas.openxmlformats.org/markup-compatibility/2006" xmlns:a14="http://schemas.microsoft.com/office/drawing/2010/main" val="C0C0C0" mc:Ignorable="a14" a14:legacySpreadsheetColorIndex="22"/>
            </a:gs>
            <a:gs pos="50000">
              <a:srgbClr xmlns:mc="http://schemas.openxmlformats.org/markup-compatibility/2006" xmlns:a14="http://schemas.microsoft.com/office/drawing/2010/main" val="F6F6F6" mc:Ignorable="a14" a14:legacySpreadsheetColorIndex="22">
                <a:gamma/>
                <a:tint val="13725"/>
                <a:invGamma/>
              </a:srgbClr>
            </a:gs>
            <a:gs pos="100000">
              <a:srgbClr xmlns:mc="http://schemas.openxmlformats.org/markup-compatibility/2006" xmlns:a14="http://schemas.microsoft.com/office/drawing/2010/main" val="C0C0C0" mc:Ignorable="a14" a14:legacySpreadsheetColorIndex="22"/>
            </a:gs>
          </a:gsLst>
          <a:lin ang="2700000" scaled="1"/>
        </a:gradFill>
        <a:ln w="12700">
          <a:solidFill>
            <a:srgbClr val="808080"/>
          </a:solidFill>
          <a:prstDash val="solid"/>
        </a:ln>
      </c:spPr>
    </c:plotArea>
    <c:legend>
      <c:legendPos val="l"/>
      <c:legendEntry>
        <c:idx val="1"/>
        <c:delete val="1"/>
      </c:legendEntry>
      <c:legendEntry>
        <c:idx val="3"/>
        <c:delete val="1"/>
      </c:legendEntry>
      <c:legendEntry>
        <c:idx val="5"/>
        <c:delete val="1"/>
      </c:legendEntry>
      <c:legendEntry>
        <c:idx val="7"/>
        <c:delete val="1"/>
      </c:legendEntry>
      <c:legendEntry>
        <c:idx val="9"/>
        <c:delete val="1"/>
      </c:legendEntry>
      <c:legendEntry>
        <c:idx val="11"/>
        <c:delete val="1"/>
      </c:legendEntry>
      <c:layout>
        <c:manualLayout>
          <c:xMode val="edge"/>
          <c:yMode val="edge"/>
          <c:wMode val="edge"/>
          <c:hMode val="edge"/>
          <c:x val="1.1940298507462687E-2"/>
          <c:y val="5.1177072671443197E-3"/>
          <c:w val="0.18805976417126963"/>
          <c:h val="0.22722620266120777"/>
        </c:manualLayout>
      </c:layout>
      <c:overlay val="0"/>
      <c:spPr>
        <a:solidFill>
          <a:srgbClr val="FFFFFF"/>
        </a:solidFill>
        <a:ln w="3175">
          <a:solidFill>
            <a:srgbClr val="000000"/>
          </a:solidFill>
          <a:prstDash val="solid"/>
        </a:ln>
      </c:spPr>
      <c:txPr>
        <a:bodyPr/>
        <a:lstStyle/>
        <a:p>
          <a:pPr>
            <a:defRPr sz="1285" b="0" i="0" u="none" strike="noStrike" baseline="0">
              <a:solidFill>
                <a:srgbClr val="000000"/>
              </a:solidFill>
              <a:latin typeface="ＭＳ Ｐゴシック"/>
              <a:ea typeface="ＭＳ Ｐゴシック"/>
              <a:cs typeface="ＭＳ Ｐゴシック"/>
            </a:defRPr>
          </a:pPr>
          <a:endParaRPr lang="ja-JP"/>
        </a:p>
      </c:txPr>
    </c:legend>
    <c:plotVisOnly val="1"/>
    <c:dispBlanksAs val="gap"/>
    <c:showDLblsOverMax val="0"/>
  </c:chart>
  <c:spPr>
    <a:solidFill>
      <a:srgbClr val="FFFFFF"/>
    </a:solidFill>
    <a:ln w="9525">
      <a:noFill/>
    </a:ln>
  </c:spPr>
  <c:txPr>
    <a:bodyPr/>
    <a:lstStyle/>
    <a:p>
      <a:pPr>
        <a:defRPr sz="19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0"/>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975" b="0" i="0" u="none" strike="noStrike" baseline="0">
                <a:solidFill>
                  <a:srgbClr val="000000"/>
                </a:solidFill>
                <a:latin typeface="HGS創英角ｺﾞｼｯｸUB"/>
                <a:ea typeface="HGS創英角ｺﾞｼｯｸUB"/>
                <a:cs typeface="HGS創英角ｺﾞｼｯｸUB"/>
              </a:defRPr>
            </a:pPr>
            <a:r>
              <a:rPr altLang="en-US"/>
              <a:t>電子商取引導入効果の分析図</a:t>
            </a:r>
          </a:p>
        </c:rich>
      </c:tx>
      <c:layout>
        <c:manualLayout>
          <c:xMode val="edge"/>
          <c:yMode val="edge"/>
          <c:x val="0.39726027397260272"/>
          <c:y val="2.9143897996357013E-2"/>
        </c:manualLayout>
      </c:layout>
      <c:overlay val="0"/>
      <c:spPr>
        <a:noFill/>
        <a:ln w="25400">
          <a:noFill/>
        </a:ln>
      </c:spPr>
    </c:title>
    <c:autoTitleDeleted val="0"/>
    <c:plotArea>
      <c:layout>
        <c:manualLayout>
          <c:layoutTarget val="inner"/>
          <c:xMode val="edge"/>
          <c:yMode val="edge"/>
          <c:x val="9.9463966646813576E-2"/>
          <c:y val="9.8360830702183488E-2"/>
          <c:w val="0.88028588445503275"/>
          <c:h val="0.65209587761817944"/>
        </c:manualLayout>
      </c:layout>
      <c:barChart>
        <c:barDir val="bar"/>
        <c:grouping val="stacked"/>
        <c:varyColors val="0"/>
        <c:ser>
          <c:idx val="0"/>
          <c:order val="0"/>
          <c:tx>
            <c:strRef>
              <c:f>'&lt;参考&gt;●総コスト算出WS'!$AC$53</c:f>
              <c:strCache>
                <c:ptCount val="1"/>
                <c:pt idx="0">
                  <c:v>購買見積依頼</c:v>
                </c:pt>
              </c:strCache>
            </c:strRef>
          </c:tx>
          <c:spPr>
            <a:solidFill>
              <a:srgbClr val="FF6600"/>
            </a:solidFill>
            <a:ln w="25400">
              <a:solidFill>
                <a:srgbClr val="808080"/>
              </a:solidFill>
              <a:prstDash val="solid"/>
            </a:ln>
          </c:spPr>
          <c:invertIfNegative val="0"/>
          <c:cat>
            <c:strRef>
              <c:f>'&lt;参考&gt;●総コスト算出WS'!$AB$54:$AB$55</c:f>
              <c:strCache>
                <c:ptCount val="2"/>
                <c:pt idx="0">
                  <c:v>導入後</c:v>
                </c:pt>
                <c:pt idx="1">
                  <c:v>導入前</c:v>
                </c:pt>
              </c:strCache>
            </c:strRef>
          </c:cat>
          <c:val>
            <c:numRef>
              <c:f>'&lt;参考&gt;●総コスト算出WS'!$AC$54:$AC$55</c:f>
              <c:numCache>
                <c:formatCode>"¥"#,##0_);\("¥"#,##0\)</c:formatCode>
                <c:ptCount val="2"/>
                <c:pt idx="0">
                  <c:v>0</c:v>
                </c:pt>
                <c:pt idx="1">
                  <c:v>0</c:v>
                </c:pt>
              </c:numCache>
            </c:numRef>
          </c:val>
        </c:ser>
        <c:ser>
          <c:idx val="1"/>
          <c:order val="1"/>
          <c:tx>
            <c:strRef>
              <c:f>'&lt;参考&gt;●総コスト算出WS'!$AD$53</c:f>
              <c:strCache>
                <c:ptCount val="1"/>
                <c:pt idx="0">
                  <c:v>購買見積回答・見積比較</c:v>
                </c:pt>
              </c:strCache>
            </c:strRef>
          </c:tx>
          <c:spPr>
            <a:solidFill>
              <a:srgbClr val="FFCC00"/>
            </a:solidFill>
            <a:ln w="25400">
              <a:solidFill>
                <a:srgbClr val="969696"/>
              </a:solidFill>
              <a:prstDash val="solid"/>
            </a:ln>
          </c:spPr>
          <c:invertIfNegative val="0"/>
          <c:dPt>
            <c:idx val="0"/>
            <c:invertIfNegative val="0"/>
            <c:bubble3D val="0"/>
            <c:spPr>
              <a:solidFill>
                <a:srgbClr val="FFCC00"/>
              </a:solidFill>
              <a:ln w="12700">
                <a:solidFill>
                  <a:srgbClr val="000000"/>
                </a:solidFill>
                <a:prstDash val="solid"/>
              </a:ln>
            </c:spPr>
          </c:dPt>
          <c:cat>
            <c:strRef>
              <c:f>'&lt;参考&gt;●総コスト算出WS'!$AB$54:$AB$55</c:f>
              <c:strCache>
                <c:ptCount val="2"/>
                <c:pt idx="0">
                  <c:v>導入後</c:v>
                </c:pt>
                <c:pt idx="1">
                  <c:v>導入前</c:v>
                </c:pt>
              </c:strCache>
            </c:strRef>
          </c:cat>
          <c:val>
            <c:numRef>
              <c:f>'&lt;参考&gt;●総コスト算出WS'!$AD$54:$AD$55</c:f>
              <c:numCache>
                <c:formatCode>"¥"#,##0_);\("¥"#,##0\)</c:formatCode>
                <c:ptCount val="2"/>
                <c:pt idx="0">
                  <c:v>0</c:v>
                </c:pt>
                <c:pt idx="1">
                  <c:v>0</c:v>
                </c:pt>
              </c:numCache>
            </c:numRef>
          </c:val>
        </c:ser>
        <c:ser>
          <c:idx val="2"/>
          <c:order val="2"/>
          <c:tx>
            <c:strRef>
              <c:f>'&lt;参考&gt;●総コスト算出WS'!$AE$53</c:f>
              <c:strCache>
                <c:ptCount val="1"/>
                <c:pt idx="0">
                  <c:v>契約（注文書の発行）</c:v>
                </c:pt>
              </c:strCache>
            </c:strRef>
          </c:tx>
          <c:spPr>
            <a:solidFill>
              <a:srgbClr val="3366FF"/>
            </a:solidFill>
            <a:ln w="25400">
              <a:solidFill>
                <a:srgbClr val="969696"/>
              </a:solidFill>
              <a:prstDash val="solid"/>
            </a:ln>
          </c:spPr>
          <c:invertIfNegative val="0"/>
          <c:dPt>
            <c:idx val="0"/>
            <c:invertIfNegative val="0"/>
            <c:bubble3D val="0"/>
            <c:spPr>
              <a:solidFill>
                <a:srgbClr val="3366FF"/>
              </a:solidFill>
              <a:ln w="12700">
                <a:solidFill>
                  <a:srgbClr val="000000"/>
                </a:solidFill>
                <a:prstDash val="solid"/>
              </a:ln>
            </c:spPr>
          </c:dPt>
          <c:cat>
            <c:strRef>
              <c:f>'&lt;参考&gt;●総コスト算出WS'!$AB$54:$AB$55</c:f>
              <c:strCache>
                <c:ptCount val="2"/>
                <c:pt idx="0">
                  <c:v>導入後</c:v>
                </c:pt>
                <c:pt idx="1">
                  <c:v>導入前</c:v>
                </c:pt>
              </c:strCache>
            </c:strRef>
          </c:cat>
          <c:val>
            <c:numRef>
              <c:f>'&lt;参考&gt;●総コスト算出WS'!$AE$54:$AE$55</c:f>
              <c:numCache>
                <c:formatCode>"¥"#,##0_);\("¥"#,##0\)</c:formatCode>
                <c:ptCount val="2"/>
                <c:pt idx="0">
                  <c:v>72333633.599999994</c:v>
                </c:pt>
                <c:pt idx="1">
                  <c:v>82383840</c:v>
                </c:pt>
              </c:numCache>
            </c:numRef>
          </c:val>
        </c:ser>
        <c:ser>
          <c:idx val="3"/>
          <c:order val="3"/>
          <c:tx>
            <c:strRef>
              <c:f>'&lt;参考&gt;●総コスト算出WS'!$AF$53</c:f>
              <c:strCache>
                <c:ptCount val="1"/>
                <c:pt idx="0">
                  <c:v>契約（注文書の受け取り）</c:v>
                </c:pt>
              </c:strCache>
            </c:strRef>
          </c:tx>
          <c:spPr>
            <a:solidFill>
              <a:srgbClr val="33CCCC"/>
            </a:solidFill>
            <a:ln w="25400">
              <a:solidFill>
                <a:srgbClr val="969696"/>
              </a:solidFill>
              <a:prstDash val="solid"/>
            </a:ln>
          </c:spPr>
          <c:invertIfNegative val="0"/>
          <c:dPt>
            <c:idx val="0"/>
            <c:invertIfNegative val="0"/>
            <c:bubble3D val="0"/>
            <c:spPr>
              <a:solidFill>
                <a:srgbClr val="33CCCC"/>
              </a:solidFill>
              <a:ln w="12700">
                <a:solidFill>
                  <a:srgbClr val="000000"/>
                </a:solidFill>
                <a:prstDash val="solid"/>
              </a:ln>
            </c:spPr>
          </c:dPt>
          <c:cat>
            <c:strRef>
              <c:f>'&lt;参考&gt;●総コスト算出WS'!$AB$54:$AB$55</c:f>
              <c:strCache>
                <c:ptCount val="2"/>
                <c:pt idx="0">
                  <c:v>導入後</c:v>
                </c:pt>
                <c:pt idx="1">
                  <c:v>導入前</c:v>
                </c:pt>
              </c:strCache>
            </c:strRef>
          </c:cat>
          <c:val>
            <c:numRef>
              <c:f>'&lt;参考&gt;●総コスト算出WS'!$AF$54:$AF$55</c:f>
              <c:numCache>
                <c:formatCode>"¥"#,##0_);\("¥"#,##0\)</c:formatCode>
                <c:ptCount val="2"/>
                <c:pt idx="0">
                  <c:v>4075876.8</c:v>
                </c:pt>
                <c:pt idx="1">
                  <c:v>4165920</c:v>
                </c:pt>
              </c:numCache>
            </c:numRef>
          </c:val>
        </c:ser>
        <c:ser>
          <c:idx val="4"/>
          <c:order val="4"/>
          <c:tx>
            <c:strRef>
              <c:f>'&lt;参考&gt;●総コスト算出WS'!$AG$53</c:f>
              <c:strCache>
                <c:ptCount val="1"/>
                <c:pt idx="0">
                  <c:v>出来高調書・出来高査定</c:v>
                </c:pt>
              </c:strCache>
            </c:strRef>
          </c:tx>
          <c:spPr>
            <a:solidFill>
              <a:srgbClr val="008000"/>
            </a:solidFill>
            <a:ln w="25400">
              <a:solidFill>
                <a:srgbClr val="969696"/>
              </a:solidFill>
              <a:prstDash val="solid"/>
            </a:ln>
          </c:spPr>
          <c:invertIfNegative val="0"/>
          <c:dPt>
            <c:idx val="0"/>
            <c:invertIfNegative val="0"/>
            <c:bubble3D val="0"/>
            <c:spPr>
              <a:solidFill>
                <a:srgbClr val="008000"/>
              </a:solidFill>
              <a:ln w="12700">
                <a:solidFill>
                  <a:srgbClr val="000000"/>
                </a:solidFill>
                <a:prstDash val="solid"/>
              </a:ln>
            </c:spPr>
          </c:dPt>
          <c:cat>
            <c:strRef>
              <c:f>'&lt;参考&gt;●総コスト算出WS'!$AB$54:$AB$55</c:f>
              <c:strCache>
                <c:ptCount val="2"/>
                <c:pt idx="0">
                  <c:v>導入後</c:v>
                </c:pt>
                <c:pt idx="1">
                  <c:v>導入前</c:v>
                </c:pt>
              </c:strCache>
            </c:strRef>
          </c:cat>
          <c:val>
            <c:numRef>
              <c:f>'&lt;参考&gt;●総コスト算出WS'!$AG$54:$AG$55</c:f>
              <c:numCache>
                <c:formatCode>"¥"#,##0_);\("¥"#,##0\)</c:formatCode>
                <c:ptCount val="2"/>
                <c:pt idx="0">
                  <c:v>0</c:v>
                </c:pt>
                <c:pt idx="1">
                  <c:v>0</c:v>
                </c:pt>
              </c:numCache>
            </c:numRef>
          </c:val>
        </c:ser>
        <c:ser>
          <c:idx val="5"/>
          <c:order val="5"/>
          <c:tx>
            <c:strRef>
              <c:f>'&lt;参考&gt;●総コスト算出WS'!$AH$53</c:f>
              <c:strCache>
                <c:ptCount val="1"/>
                <c:pt idx="0">
                  <c:v>請求</c:v>
                </c:pt>
              </c:strCache>
            </c:strRef>
          </c:tx>
          <c:spPr>
            <a:solidFill>
              <a:srgbClr val="CCFFCC"/>
            </a:solidFill>
            <a:ln w="25400">
              <a:solidFill>
                <a:srgbClr val="969696"/>
              </a:solidFill>
              <a:prstDash val="solid"/>
            </a:ln>
          </c:spPr>
          <c:invertIfNegative val="0"/>
          <c:dPt>
            <c:idx val="0"/>
            <c:invertIfNegative val="0"/>
            <c:bubble3D val="0"/>
            <c:spPr>
              <a:solidFill>
                <a:srgbClr val="CCFFCC"/>
              </a:solidFill>
              <a:ln w="12700">
                <a:solidFill>
                  <a:srgbClr val="000000"/>
                </a:solidFill>
                <a:prstDash val="solid"/>
              </a:ln>
            </c:spPr>
          </c:dPt>
          <c:cat>
            <c:strRef>
              <c:f>'&lt;参考&gt;●総コスト算出WS'!$AB$54:$AB$55</c:f>
              <c:strCache>
                <c:ptCount val="2"/>
                <c:pt idx="0">
                  <c:v>導入後</c:v>
                </c:pt>
                <c:pt idx="1">
                  <c:v>導入前</c:v>
                </c:pt>
              </c:strCache>
            </c:strRef>
          </c:cat>
          <c:val>
            <c:numRef>
              <c:f>'&lt;参考&gt;●総コスト算出WS'!$AH$54:$AH$55</c:f>
              <c:numCache>
                <c:formatCode>"¥"#,##0_);\("¥"#,##0\)</c:formatCode>
                <c:ptCount val="2"/>
                <c:pt idx="0">
                  <c:v>0</c:v>
                </c:pt>
                <c:pt idx="1">
                  <c:v>0</c:v>
                </c:pt>
              </c:numCache>
            </c:numRef>
          </c:val>
        </c:ser>
        <c:dLbls>
          <c:showLegendKey val="0"/>
          <c:showVal val="0"/>
          <c:showCatName val="0"/>
          <c:showSerName val="0"/>
          <c:showPercent val="0"/>
          <c:showBubbleSize val="0"/>
        </c:dLbls>
        <c:gapWidth val="170"/>
        <c:overlap val="100"/>
        <c:serLines>
          <c:spPr>
            <a:ln w="3175">
              <a:solidFill>
                <a:srgbClr val="000000"/>
              </a:solidFill>
              <a:prstDash val="solid"/>
            </a:ln>
          </c:spPr>
        </c:serLines>
        <c:axId val="157048832"/>
        <c:axId val="157050368"/>
      </c:barChart>
      <c:catAx>
        <c:axId val="157048832"/>
        <c:scaling>
          <c:orientation val="minMax"/>
        </c:scaling>
        <c:delete val="0"/>
        <c:axPos val="l"/>
        <c:numFmt formatCode="\¥#,##0;\¥\-#,##0" sourceLinked="1"/>
        <c:majorTickMark val="in"/>
        <c:minorTickMark val="none"/>
        <c:tickLblPos val="nextTo"/>
        <c:spPr>
          <a:ln w="3175">
            <a:solidFill>
              <a:srgbClr val="000000"/>
            </a:solidFill>
            <a:prstDash val="solid"/>
          </a:ln>
        </c:spPr>
        <c:txPr>
          <a:bodyPr rot="0" vert="horz"/>
          <a:lstStyle/>
          <a:p>
            <a:pPr>
              <a:defRPr sz="1800" b="0" i="0" u="none" strike="noStrike" baseline="0">
                <a:solidFill>
                  <a:srgbClr val="000000"/>
                </a:solidFill>
                <a:latin typeface="ＭＳ Ｐゴシック"/>
                <a:ea typeface="ＭＳ Ｐゴシック"/>
                <a:cs typeface="ＭＳ Ｐゴシック"/>
              </a:defRPr>
            </a:pPr>
            <a:endParaRPr lang="ja-JP"/>
          </a:p>
        </c:txPr>
        <c:crossAx val="157050368"/>
        <c:crosses val="autoZero"/>
        <c:auto val="1"/>
        <c:lblAlgn val="ctr"/>
        <c:lblOffset val="100"/>
        <c:tickLblSkip val="1"/>
        <c:tickMarkSkip val="1"/>
        <c:noMultiLvlLbl val="0"/>
      </c:catAx>
      <c:valAx>
        <c:axId val="157050368"/>
        <c:scaling>
          <c:orientation val="minMax"/>
        </c:scaling>
        <c:delete val="1"/>
        <c:axPos val="b"/>
        <c:majorGridlines>
          <c:spPr>
            <a:ln w="12700">
              <a:solidFill>
                <a:srgbClr val="808080"/>
              </a:solidFill>
              <a:prstDash val="sysDash"/>
            </a:ln>
          </c:spPr>
        </c:majorGridlines>
        <c:numFmt formatCode="&quot;¥&quot;#,##0_);\(&quot;¥&quot;#,##0\)" sourceLinked="1"/>
        <c:majorTickMark val="out"/>
        <c:minorTickMark val="none"/>
        <c:tickLblPos val="nextTo"/>
        <c:crossAx val="157048832"/>
        <c:crosses val="autoZero"/>
        <c:crossBetween val="between"/>
      </c:valAx>
      <c:spPr>
        <a:gradFill rotWithShape="0">
          <a:gsLst>
            <a:gs pos="0">
              <a:srgbClr xmlns:mc="http://schemas.openxmlformats.org/markup-compatibility/2006" xmlns:a14="http://schemas.microsoft.com/office/drawing/2010/main" val="C0C0C0" mc:Ignorable="a14" a14:legacySpreadsheetColorIndex="22"/>
            </a:gs>
            <a:gs pos="50000">
              <a:srgbClr xmlns:mc="http://schemas.openxmlformats.org/markup-compatibility/2006" xmlns:a14="http://schemas.microsoft.com/office/drawing/2010/main" val="FFFFFF" mc:Ignorable="a14" a14:legacySpreadsheetColorIndex="22">
                <a:gamma/>
                <a:tint val="0"/>
                <a:invGamma/>
              </a:srgbClr>
            </a:gs>
            <a:gs pos="100000">
              <a:srgbClr xmlns:mc="http://schemas.openxmlformats.org/markup-compatibility/2006" xmlns:a14="http://schemas.microsoft.com/office/drawing/2010/main" val="C0C0C0" mc:Ignorable="a14" a14:legacySpreadsheetColorIndex="22"/>
            </a:gs>
          </a:gsLst>
          <a:lin ang="2700000" scaled="1"/>
        </a:gradFill>
        <a:ln w="12700">
          <a:solidFill>
            <a:srgbClr val="808080"/>
          </a:solidFill>
          <a:prstDash val="solid"/>
        </a:ln>
      </c:spPr>
    </c:plotArea>
    <c:legend>
      <c:legendPos val="b"/>
      <c:layout>
        <c:manualLayout>
          <c:xMode val="edge"/>
          <c:yMode val="edge"/>
          <c:wMode val="edge"/>
          <c:hMode val="edge"/>
          <c:x val="0.66706372840976769"/>
          <c:y val="0.78324359728258008"/>
          <c:w val="0.97736748064323997"/>
          <c:h val="0.99453724022202139"/>
        </c:manualLayout>
      </c:layout>
      <c:overlay val="0"/>
      <c:spPr>
        <a:solidFill>
          <a:srgbClr val="FFFFFF"/>
        </a:solidFill>
        <a:ln w="3175">
          <a:solidFill>
            <a:srgbClr val="000000"/>
          </a:solidFill>
          <a:prstDash val="solid"/>
        </a:ln>
      </c:spPr>
      <c:txPr>
        <a:bodyPr/>
        <a:lstStyle/>
        <a:p>
          <a:pPr>
            <a:defRPr sz="1285" b="0" i="0" u="none" strike="noStrike" baseline="0">
              <a:solidFill>
                <a:srgbClr val="000000"/>
              </a:solidFill>
              <a:latin typeface="ＭＳ Ｐゴシック"/>
              <a:ea typeface="ＭＳ Ｐゴシック"/>
              <a:cs typeface="ＭＳ Ｐゴシック"/>
            </a:defRPr>
          </a:pPr>
          <a:endParaRPr lang="ja-JP"/>
        </a:p>
      </c:txPr>
    </c:legend>
    <c:plotVisOnly val="1"/>
    <c:dispBlanksAs val="gap"/>
    <c:showDLblsOverMax val="0"/>
  </c:chart>
  <c:spPr>
    <a:solidFill>
      <a:srgbClr val="FFFFFF"/>
    </a:solidFill>
    <a:ln w="9525">
      <a:noFill/>
    </a:ln>
  </c:spPr>
  <c:txPr>
    <a:bodyPr/>
    <a:lstStyle/>
    <a:p>
      <a:pPr>
        <a:defRPr sz="1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0"/>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6464587134236877"/>
          <c:y val="1.7112125114843255E-2"/>
          <c:w val="0.74792620625293105"/>
          <c:h val="0.9159648590709708"/>
        </c:manualLayout>
      </c:layout>
      <c:barChart>
        <c:barDir val="col"/>
        <c:grouping val="stacked"/>
        <c:varyColors val="0"/>
        <c:ser>
          <c:idx val="4"/>
          <c:order val="0"/>
          <c:tx>
            <c:strRef>
              <c:f>●ｼﾐｭﾚｰｼｮﾝ結果!$F$142</c:f>
              <c:strCache>
                <c:ptCount val="1"/>
                <c:pt idx="0">
                  <c:v>ﾊｰﾄﾞｳｪｱ等</c:v>
                </c:pt>
              </c:strCache>
            </c:strRef>
          </c:tx>
          <c:spPr>
            <a:gradFill rotWithShape="0">
              <a:gsLst>
                <a:gs pos="0">
                  <a:srgbClr xmlns:mc="http://schemas.openxmlformats.org/markup-compatibility/2006" xmlns:a14="http://schemas.microsoft.com/office/drawing/2010/main" val="FFCC00" mc:Ignorable="a14" a14:legacySpreadsheetColorIndex="51"/>
                </a:gs>
                <a:gs pos="50000">
                  <a:srgbClr xmlns:mc="http://schemas.openxmlformats.org/markup-compatibility/2006" xmlns:a14="http://schemas.microsoft.com/office/drawing/2010/main" val="FFD943" mc:Ignorable="a14" a14:legacySpreadsheetColorIndex="51">
                    <a:gamma/>
                    <a:tint val="73725"/>
                    <a:invGamma/>
                  </a:srgbClr>
                </a:gs>
                <a:gs pos="100000">
                  <a:srgbClr xmlns:mc="http://schemas.openxmlformats.org/markup-compatibility/2006" xmlns:a14="http://schemas.microsoft.com/office/drawing/2010/main" val="FFCC00" mc:Ignorable="a14" a14:legacySpreadsheetColorIndex="51"/>
                </a:gs>
              </a:gsLst>
              <a:lin ang="0" scaled="1"/>
            </a:gradFill>
            <a:ln w="12700">
              <a:solidFill>
                <a:srgbClr val="969696"/>
              </a:solidFill>
              <a:prstDash val="solid"/>
            </a:ln>
          </c:spPr>
          <c:invertIfNegative val="0"/>
          <c:cat>
            <c:strRef>
              <c:f>●ｼﾐｭﾚｰｼｮﾝ結果!$G$137:$Q$137</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●ｼﾐｭﾚｰｼｮﾝ結果!$G$142:$Q$142</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3"/>
          <c:order val="1"/>
          <c:tx>
            <c:strRef>
              <c:f>●ｼﾐｭﾚｰｼｮﾝ結果!$F$141</c:f>
              <c:strCache>
                <c:ptCount val="1"/>
                <c:pt idx="0">
                  <c:v>初期導入費</c:v>
                </c:pt>
              </c:strCache>
            </c:strRef>
          </c:tx>
          <c:spPr>
            <a:gradFill rotWithShape="0">
              <a:gsLst>
                <a:gs pos="0">
                  <a:srgbClr xmlns:mc="http://schemas.openxmlformats.org/markup-compatibility/2006" xmlns:a14="http://schemas.microsoft.com/office/drawing/2010/main" val="FF99CC" mc:Ignorable="a14" a14:legacySpreadsheetColorIndex="45"/>
                </a:gs>
                <a:gs pos="50000">
                  <a:srgbClr xmlns:mc="http://schemas.openxmlformats.org/markup-compatibility/2006" xmlns:a14="http://schemas.microsoft.com/office/drawing/2010/main" val="FFB4D9" mc:Ignorable="a14" a14:legacySpreadsheetColorIndex="45">
                    <a:gamma/>
                    <a:tint val="73725"/>
                    <a:invGamma/>
                  </a:srgbClr>
                </a:gs>
                <a:gs pos="100000">
                  <a:srgbClr xmlns:mc="http://schemas.openxmlformats.org/markup-compatibility/2006" xmlns:a14="http://schemas.microsoft.com/office/drawing/2010/main" val="FF99CC" mc:Ignorable="a14" a14:legacySpreadsheetColorIndex="45"/>
                </a:gs>
              </a:gsLst>
              <a:lin ang="0" scaled="1"/>
            </a:gradFill>
            <a:ln w="12700">
              <a:solidFill>
                <a:srgbClr val="969696"/>
              </a:solidFill>
              <a:prstDash val="solid"/>
            </a:ln>
          </c:spPr>
          <c:invertIfNegative val="0"/>
          <c:cat>
            <c:strRef>
              <c:f>●ｼﾐｭﾚｰｼｮﾝ結果!$G$137:$Q$137</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●ｼﾐｭﾚｰｼｮﾝ結果!$G$141:$Q$141</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2"/>
          <c:order val="2"/>
          <c:tx>
            <c:strRef>
              <c:f>●ｼﾐｭﾚｰｼｮﾝ結果!$F$140</c:f>
              <c:strCache>
                <c:ptCount val="1"/>
                <c:pt idx="0">
                  <c:v>年額費計</c:v>
                </c:pt>
              </c:strCache>
            </c:strRef>
          </c:tx>
          <c:spPr>
            <a:gradFill rotWithShape="0">
              <a:gsLst>
                <a:gs pos="0">
                  <a:srgbClr xmlns:mc="http://schemas.openxmlformats.org/markup-compatibility/2006" xmlns:a14="http://schemas.microsoft.com/office/drawing/2010/main" val="FF00FF" mc:Ignorable="a14" a14:legacySpreadsheetColorIndex="14"/>
                </a:gs>
                <a:gs pos="50000">
                  <a:srgbClr xmlns:mc="http://schemas.openxmlformats.org/markup-compatibility/2006" xmlns:a14="http://schemas.microsoft.com/office/drawing/2010/main" val="FF43FF" mc:Ignorable="a14" a14:legacySpreadsheetColorIndex="14">
                    <a:gamma/>
                    <a:tint val="73725"/>
                    <a:invGamma/>
                  </a:srgbClr>
                </a:gs>
                <a:gs pos="100000">
                  <a:srgbClr xmlns:mc="http://schemas.openxmlformats.org/markup-compatibility/2006" xmlns:a14="http://schemas.microsoft.com/office/drawing/2010/main" val="FF00FF" mc:Ignorable="a14" a14:legacySpreadsheetColorIndex="14"/>
                </a:gs>
              </a:gsLst>
              <a:lin ang="0" scaled="1"/>
            </a:gradFill>
            <a:ln w="12700">
              <a:solidFill>
                <a:srgbClr val="969696"/>
              </a:solidFill>
              <a:prstDash val="solid"/>
            </a:ln>
          </c:spPr>
          <c:invertIfNegative val="0"/>
          <c:cat>
            <c:strRef>
              <c:f>●ｼﾐｭﾚｰｼｮﾝ結果!$G$137:$Q$137</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●ｼﾐｭﾚｰｼｮﾝ結果!$G$140:$Q$140</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1"/>
          <c:order val="3"/>
          <c:tx>
            <c:strRef>
              <c:f>●ｼﾐｭﾚｰｼｮﾝ結果!$F$139</c:f>
              <c:strCache>
                <c:ptCount val="1"/>
                <c:pt idx="0">
                  <c:v>教育運用支援</c:v>
                </c:pt>
              </c:strCache>
            </c:strRef>
          </c:tx>
          <c:spPr>
            <a:gradFill rotWithShape="0">
              <a:gsLst>
                <a:gs pos="0">
                  <a:srgbClr xmlns:mc="http://schemas.openxmlformats.org/markup-compatibility/2006" xmlns:a14="http://schemas.microsoft.com/office/drawing/2010/main" val="800000" mc:Ignorable="a14" a14:legacySpreadsheetColorIndex="16"/>
                </a:gs>
                <a:gs pos="50000">
                  <a:srgbClr xmlns:mc="http://schemas.openxmlformats.org/markup-compatibility/2006" xmlns:a14="http://schemas.microsoft.com/office/drawing/2010/main" val="A14343" mc:Ignorable="a14" a14:legacySpreadsheetColorIndex="16">
                    <a:gamma/>
                    <a:tint val="73725"/>
                    <a:invGamma/>
                  </a:srgbClr>
                </a:gs>
                <a:gs pos="100000">
                  <a:srgbClr xmlns:mc="http://schemas.openxmlformats.org/markup-compatibility/2006" xmlns:a14="http://schemas.microsoft.com/office/drawing/2010/main" val="800000" mc:Ignorable="a14" a14:legacySpreadsheetColorIndex="16"/>
                </a:gs>
              </a:gsLst>
              <a:lin ang="0" scaled="1"/>
            </a:gradFill>
            <a:ln w="12700">
              <a:solidFill>
                <a:srgbClr val="969696"/>
              </a:solidFill>
              <a:prstDash val="solid"/>
            </a:ln>
          </c:spPr>
          <c:invertIfNegative val="0"/>
          <c:cat>
            <c:strRef>
              <c:f>●ｼﾐｭﾚｰｼｮﾝ結果!$G$137:$Q$137</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●ｼﾐｭﾚｰｼｮﾝ結果!$G$139:$Q$139</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0"/>
          <c:order val="4"/>
          <c:tx>
            <c:strRef>
              <c:f>●ｼﾐｭﾚｰｼｮﾝ結果!$F$138</c:f>
              <c:strCache>
                <c:ptCount val="1"/>
                <c:pt idx="0">
                  <c:v>削減効果</c:v>
                </c:pt>
              </c:strCache>
            </c:strRef>
          </c:tx>
          <c:spPr>
            <a:gradFill rotWithShape="0">
              <a:gsLst>
                <a:gs pos="0">
                  <a:srgbClr xmlns:mc="http://schemas.openxmlformats.org/markup-compatibility/2006" xmlns:a14="http://schemas.microsoft.com/office/drawing/2010/main" val="99CCFF" mc:Ignorable="a14" a14:legacySpreadsheetColorIndex="44"/>
                </a:gs>
                <a:gs pos="50000">
                  <a:srgbClr xmlns:mc="http://schemas.openxmlformats.org/markup-compatibility/2006" xmlns:a14="http://schemas.microsoft.com/office/drawing/2010/main" val="D6EBFF" mc:Ignorable="a14" a14:legacySpreadsheetColorIndex="44">
                    <a:gamma/>
                    <a:tint val="40000"/>
                    <a:invGamma/>
                  </a:srgbClr>
                </a:gs>
                <a:gs pos="100000">
                  <a:srgbClr xmlns:mc="http://schemas.openxmlformats.org/markup-compatibility/2006" xmlns:a14="http://schemas.microsoft.com/office/drawing/2010/main" val="99CCFF" mc:Ignorable="a14" a14:legacySpreadsheetColorIndex="44"/>
                </a:gs>
              </a:gsLst>
              <a:lin ang="0" scaled="1"/>
            </a:gradFill>
            <a:ln w="3175">
              <a:solidFill>
                <a:srgbClr val="969696"/>
              </a:solidFill>
              <a:prstDash val="solid"/>
            </a:ln>
          </c:spPr>
          <c:invertIfNegative val="0"/>
          <c:cat>
            <c:strRef>
              <c:f>●ｼﾐｭﾚｰｼｮﾝ結果!$G$137:$Q$137</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●ｼﾐｭﾚｰｼｮﾝ結果!$G$138:$Q$138</c:f>
              <c:numCache>
                <c:formatCode>#,##0_ ;[Red]\-#,##0\ </c:formatCode>
                <c:ptCount val="11"/>
                <c:pt idx="0">
                  <c:v>0</c:v>
                </c:pt>
                <c:pt idx="1">
                  <c:v>0</c:v>
                </c:pt>
                <c:pt idx="2">
                  <c:v>695361.00000000093</c:v>
                </c:pt>
                <c:pt idx="3">
                  <c:v>897240</c:v>
                </c:pt>
                <c:pt idx="4">
                  <c:v>1121550</c:v>
                </c:pt>
                <c:pt idx="5">
                  <c:v>1345860</c:v>
                </c:pt>
                <c:pt idx="6">
                  <c:v>1345860</c:v>
                </c:pt>
                <c:pt idx="7">
                  <c:v>1345860</c:v>
                </c:pt>
                <c:pt idx="8">
                  <c:v>1345860</c:v>
                </c:pt>
                <c:pt idx="9">
                  <c:v>1345860</c:v>
                </c:pt>
                <c:pt idx="10">
                  <c:v>1345860</c:v>
                </c:pt>
              </c:numCache>
            </c:numRef>
          </c:val>
        </c:ser>
        <c:dLbls>
          <c:showLegendKey val="0"/>
          <c:showVal val="0"/>
          <c:showCatName val="0"/>
          <c:showSerName val="0"/>
          <c:showPercent val="0"/>
          <c:showBubbleSize val="0"/>
        </c:dLbls>
        <c:gapWidth val="80"/>
        <c:overlap val="100"/>
        <c:axId val="157083136"/>
        <c:axId val="157085056"/>
      </c:barChart>
      <c:lineChart>
        <c:grouping val="standard"/>
        <c:varyColors val="0"/>
        <c:ser>
          <c:idx val="5"/>
          <c:order val="5"/>
          <c:tx>
            <c:strRef>
              <c:f>●ｼﾐｭﾚｰｼｮﾝ結果!$F$143</c:f>
              <c:strCache>
                <c:ptCount val="1"/>
                <c:pt idx="0">
                  <c:v>差額</c:v>
                </c:pt>
              </c:strCache>
            </c:strRef>
          </c:tx>
          <c:cat>
            <c:strRef>
              <c:f>●ｼﾐｭﾚｰｼｮﾝ結果!$G$137:$Q$137</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●ｼﾐｭﾚｰｼｮﾝ結果!$G$143:$Q$143</c:f>
            </c:numRef>
          </c:val>
          <c:smooth val="0"/>
        </c:ser>
        <c:ser>
          <c:idx val="6"/>
          <c:order val="6"/>
          <c:tx>
            <c:strRef>
              <c:f>●ｼﾐｭﾚｰｼｮﾝ結果!$F$144</c:f>
              <c:strCache>
                <c:ptCount val="1"/>
                <c:pt idx="0">
                  <c:v>累積効果</c:v>
                </c:pt>
              </c:strCache>
            </c:strRef>
          </c:tx>
          <c:spPr>
            <a:ln w="38100">
              <a:solidFill>
                <a:srgbClr val="008000"/>
              </a:solidFill>
              <a:prstDash val="solid"/>
            </a:ln>
          </c:spPr>
          <c:marker>
            <c:symbol val="circle"/>
            <c:size val="7"/>
            <c:spPr>
              <a:solidFill>
                <a:srgbClr val="008000"/>
              </a:solidFill>
              <a:ln>
                <a:solidFill>
                  <a:srgbClr val="008000"/>
                </a:solidFill>
                <a:prstDash val="solid"/>
              </a:ln>
            </c:spPr>
          </c:marker>
          <c:cat>
            <c:strRef>
              <c:f>●ｼﾐｭﾚｰｼｮﾝ結果!$G$137:$Q$137</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●ｼﾐｭﾚｰｼｮﾝ結果!$G$144:$Q$144</c:f>
              <c:numCache>
                <c:formatCode>#,##0_ ;[Red]\-#,##0\ </c:formatCode>
                <c:ptCount val="11"/>
                <c:pt idx="0">
                  <c:v>0</c:v>
                </c:pt>
                <c:pt idx="1">
                  <c:v>0</c:v>
                </c:pt>
                <c:pt idx="2">
                  <c:v>695361.00000000093</c:v>
                </c:pt>
                <c:pt idx="3">
                  <c:v>1592601.0000000009</c:v>
                </c:pt>
                <c:pt idx="4">
                  <c:v>2714151.0000000009</c:v>
                </c:pt>
                <c:pt idx="5">
                  <c:v>4060011.0000000009</c:v>
                </c:pt>
                <c:pt idx="6">
                  <c:v>5405871.0000000009</c:v>
                </c:pt>
                <c:pt idx="7">
                  <c:v>6751731.0000000009</c:v>
                </c:pt>
                <c:pt idx="8">
                  <c:v>8097591.0000000009</c:v>
                </c:pt>
                <c:pt idx="9">
                  <c:v>9443451</c:v>
                </c:pt>
                <c:pt idx="10">
                  <c:v>10789311</c:v>
                </c:pt>
              </c:numCache>
            </c:numRef>
          </c:val>
          <c:smooth val="0"/>
        </c:ser>
        <c:dLbls>
          <c:showLegendKey val="0"/>
          <c:showVal val="0"/>
          <c:showCatName val="0"/>
          <c:showSerName val="0"/>
          <c:showPercent val="0"/>
          <c:showBubbleSize val="0"/>
        </c:dLbls>
        <c:marker val="1"/>
        <c:smooth val="0"/>
        <c:axId val="157083136"/>
        <c:axId val="157085056"/>
      </c:lineChart>
      <c:lineChart>
        <c:grouping val="standard"/>
        <c:varyColors val="0"/>
        <c:ser>
          <c:idx val="7"/>
          <c:order val="7"/>
          <c:tx>
            <c:strRef>
              <c:f>●ｼﾐｭﾚｰｼｮﾝ結果!$F$145</c:f>
              <c:strCache>
                <c:ptCount val="1"/>
                <c:pt idx="0">
                  <c:v>購買電子化率</c:v>
                </c:pt>
              </c:strCache>
            </c:strRef>
          </c:tx>
          <c:spPr>
            <a:ln w="25400">
              <a:solidFill>
                <a:srgbClr val="FF0000"/>
              </a:solidFill>
              <a:prstDash val="sysDash"/>
            </a:ln>
          </c:spPr>
          <c:marker>
            <c:symbol val="circle"/>
            <c:size val="7"/>
            <c:spPr>
              <a:solidFill>
                <a:srgbClr val="FF0000"/>
              </a:solidFill>
              <a:ln>
                <a:solidFill>
                  <a:srgbClr val="FFFFFF"/>
                </a:solidFill>
                <a:prstDash val="solid"/>
              </a:ln>
            </c:spPr>
          </c:marker>
          <c:cat>
            <c:strRef>
              <c:f>●ｼﾐｭﾚｰｼｮﾝ結果!$G$137:$Q$137</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●ｼﾐｭﾚｰｼｮﾝ結果!$G$145:$Q$145</c:f>
              <c:numCache>
                <c:formatCode>0.0%</c:formatCode>
                <c:ptCount val="11"/>
                <c:pt idx="0">
                  <c:v>0</c:v>
                </c:pt>
                <c:pt idx="1">
                  <c:v>0</c:v>
                </c:pt>
                <c:pt idx="2">
                  <c:v>0.31</c:v>
                </c:pt>
                <c:pt idx="3">
                  <c:v>0.4</c:v>
                </c:pt>
                <c:pt idx="4">
                  <c:v>0.5</c:v>
                </c:pt>
                <c:pt idx="5">
                  <c:v>0.6</c:v>
                </c:pt>
                <c:pt idx="6">
                  <c:v>0.6</c:v>
                </c:pt>
                <c:pt idx="7">
                  <c:v>0.6</c:v>
                </c:pt>
                <c:pt idx="8">
                  <c:v>0.6</c:v>
                </c:pt>
                <c:pt idx="9">
                  <c:v>0.6</c:v>
                </c:pt>
                <c:pt idx="10">
                  <c:v>0.6</c:v>
                </c:pt>
              </c:numCache>
            </c:numRef>
          </c:val>
          <c:smooth val="0"/>
        </c:ser>
        <c:ser>
          <c:idx val="8"/>
          <c:order val="8"/>
          <c:tx>
            <c:strRef>
              <c:f>●ｼﾐｭﾚｰｼｮﾝ結果!$F$146</c:f>
              <c:strCache>
                <c:ptCount val="1"/>
                <c:pt idx="0">
                  <c:v>出来高電子化率</c:v>
                </c:pt>
              </c:strCache>
            </c:strRef>
          </c:tx>
          <c:spPr>
            <a:ln w="25400">
              <a:solidFill>
                <a:srgbClr val="0000FF"/>
              </a:solidFill>
              <a:prstDash val="sysDash"/>
            </a:ln>
          </c:spPr>
          <c:marker>
            <c:symbol val="circle"/>
            <c:size val="7"/>
            <c:spPr>
              <a:solidFill>
                <a:srgbClr val="0000FF"/>
              </a:solidFill>
              <a:ln>
                <a:solidFill>
                  <a:srgbClr val="FFFFFF"/>
                </a:solidFill>
                <a:prstDash val="solid"/>
              </a:ln>
            </c:spPr>
          </c:marker>
          <c:cat>
            <c:strRef>
              <c:f>●ｼﾐｭﾚｰｼｮﾝ結果!$G$137:$Q$137</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●ｼﾐｭﾚｰｼｮﾝ結果!$G$146:$Q$146</c:f>
              <c:numCache>
                <c:formatCode>0.0%</c:formatCode>
                <c:ptCount val="11"/>
                <c:pt idx="0">
                  <c:v>0</c:v>
                </c:pt>
                <c:pt idx="1">
                  <c:v>0</c:v>
                </c:pt>
                <c:pt idx="2">
                  <c:v>0</c:v>
                </c:pt>
                <c:pt idx="3">
                  <c:v>0</c:v>
                </c:pt>
                <c:pt idx="4">
                  <c:v>0</c:v>
                </c:pt>
                <c:pt idx="5">
                  <c:v>0</c:v>
                </c:pt>
                <c:pt idx="6">
                  <c:v>0</c:v>
                </c:pt>
                <c:pt idx="7">
                  <c:v>0</c:v>
                </c:pt>
                <c:pt idx="8">
                  <c:v>0</c:v>
                </c:pt>
                <c:pt idx="9">
                  <c:v>0</c:v>
                </c:pt>
                <c:pt idx="10">
                  <c:v>0</c:v>
                </c:pt>
              </c:numCache>
            </c:numRef>
          </c:val>
          <c:smooth val="0"/>
        </c:ser>
        <c:dLbls>
          <c:showLegendKey val="0"/>
          <c:showVal val="0"/>
          <c:showCatName val="0"/>
          <c:showSerName val="0"/>
          <c:showPercent val="0"/>
          <c:showBubbleSize val="0"/>
        </c:dLbls>
        <c:marker val="1"/>
        <c:smooth val="0"/>
        <c:axId val="157832704"/>
        <c:axId val="157834240"/>
      </c:lineChart>
      <c:catAx>
        <c:axId val="157083136"/>
        <c:scaling>
          <c:orientation val="minMax"/>
        </c:scaling>
        <c:delete val="0"/>
        <c:axPos val="b"/>
        <c:numFmt formatCode="General" sourceLinked="1"/>
        <c:majorTickMark val="in"/>
        <c:minorTickMark val="none"/>
        <c:tickLblPos val="low"/>
        <c:spPr>
          <a:ln w="3175">
            <a:solidFill>
              <a:srgbClr val="808080"/>
            </a:solidFill>
            <a:prstDash val="solid"/>
          </a:ln>
        </c:spPr>
        <c:txPr>
          <a:bodyPr rot="0" vert="horz"/>
          <a:lstStyle/>
          <a:p>
            <a:pPr>
              <a:defRPr sz="1825" b="0" i="0" u="none" strike="noStrike" baseline="0">
                <a:solidFill>
                  <a:srgbClr val="000000"/>
                </a:solidFill>
                <a:latin typeface="ＭＳ Ｐゴシック"/>
                <a:ea typeface="ＭＳ Ｐゴシック"/>
                <a:cs typeface="ＭＳ Ｐゴシック"/>
              </a:defRPr>
            </a:pPr>
            <a:endParaRPr lang="ja-JP"/>
          </a:p>
        </c:txPr>
        <c:crossAx val="157085056"/>
        <c:crosses val="autoZero"/>
        <c:auto val="1"/>
        <c:lblAlgn val="ctr"/>
        <c:lblOffset val="100"/>
        <c:tickLblSkip val="1"/>
        <c:tickMarkSkip val="1"/>
        <c:noMultiLvlLbl val="0"/>
      </c:catAx>
      <c:valAx>
        <c:axId val="157085056"/>
        <c:scaling>
          <c:orientation val="minMax"/>
        </c:scaling>
        <c:delete val="0"/>
        <c:axPos val="l"/>
        <c:majorGridlines>
          <c:spPr>
            <a:ln w="3175">
              <a:solidFill>
                <a:srgbClr val="808080"/>
              </a:solidFill>
              <a:prstDash val="solid"/>
            </a:ln>
          </c:spPr>
        </c:majorGridlines>
        <c:numFmt formatCode="#,##0_ ;[Red]\-#,##0\ " sourceLinked="1"/>
        <c:majorTickMark val="in"/>
        <c:minorTickMark val="none"/>
        <c:tickLblPos val="nextTo"/>
        <c:spPr>
          <a:ln w="3175">
            <a:solidFill>
              <a:srgbClr val="000000"/>
            </a:solidFill>
            <a:prstDash val="solid"/>
          </a:ln>
        </c:spPr>
        <c:txPr>
          <a:bodyPr rot="0" vert="horz"/>
          <a:lstStyle/>
          <a:p>
            <a:pPr>
              <a:defRPr sz="1825" b="0" i="0" u="none" strike="noStrike" baseline="0">
                <a:solidFill>
                  <a:srgbClr val="000000"/>
                </a:solidFill>
                <a:latin typeface="ＭＳ Ｐゴシック"/>
                <a:ea typeface="ＭＳ Ｐゴシック"/>
                <a:cs typeface="ＭＳ Ｐゴシック"/>
              </a:defRPr>
            </a:pPr>
            <a:endParaRPr lang="ja-JP"/>
          </a:p>
        </c:txPr>
        <c:crossAx val="157083136"/>
        <c:crosses val="autoZero"/>
        <c:crossBetween val="between"/>
        <c:dispUnits>
          <c:builtInUnit val="tenThousands"/>
          <c:dispUnitsLbl>
            <c:layout>
              <c:manualLayout>
                <c:xMode val="edge"/>
                <c:yMode val="edge"/>
                <c:x val="0.10593494047609774"/>
                <c:y val="0.43886486276144515"/>
              </c:manualLayout>
            </c:layout>
            <c:spPr>
              <a:noFill/>
              <a:ln w="25400">
                <a:noFill/>
              </a:ln>
            </c:spPr>
            <c:txPr>
              <a:bodyPr rot="0" vert="wordArtVertRtl"/>
              <a:lstStyle/>
              <a:p>
                <a:pPr algn="ctr">
                  <a:defRPr sz="1200" b="1" i="0" u="none" strike="noStrike" baseline="0">
                    <a:solidFill>
                      <a:srgbClr val="000000"/>
                    </a:solidFill>
                    <a:latin typeface="ＭＳ Ｐゴシック"/>
                    <a:ea typeface="ＭＳ Ｐゴシック"/>
                    <a:cs typeface="ＭＳ Ｐゴシック"/>
                  </a:defRPr>
                </a:pPr>
                <a:endParaRPr lang="ja-JP"/>
              </a:p>
            </c:txPr>
          </c:dispUnitsLbl>
        </c:dispUnits>
      </c:valAx>
      <c:catAx>
        <c:axId val="157832704"/>
        <c:scaling>
          <c:orientation val="minMax"/>
        </c:scaling>
        <c:delete val="1"/>
        <c:axPos val="t"/>
        <c:majorTickMark val="out"/>
        <c:minorTickMark val="none"/>
        <c:tickLblPos val="nextTo"/>
        <c:crossAx val="157834240"/>
        <c:crosses val="max"/>
        <c:auto val="1"/>
        <c:lblAlgn val="ctr"/>
        <c:lblOffset val="100"/>
        <c:noMultiLvlLbl val="0"/>
      </c:catAx>
      <c:valAx>
        <c:axId val="157834240"/>
        <c:scaling>
          <c:orientation val="minMax"/>
        </c:scaling>
        <c:delete val="0"/>
        <c:axPos val="r"/>
        <c:numFmt formatCode="0%" sourceLinked="0"/>
        <c:majorTickMark val="in"/>
        <c:minorTickMark val="none"/>
        <c:tickLblPos val="nextTo"/>
        <c:spPr>
          <a:ln w="3175">
            <a:solidFill>
              <a:srgbClr val="000000"/>
            </a:solidFill>
            <a:prstDash val="solid"/>
          </a:ln>
        </c:spPr>
        <c:txPr>
          <a:bodyPr rot="0" vert="horz"/>
          <a:lstStyle/>
          <a:p>
            <a:pPr>
              <a:defRPr sz="1575" b="0" i="0" u="none" strike="noStrike" baseline="0">
                <a:solidFill>
                  <a:srgbClr val="000000"/>
                </a:solidFill>
                <a:latin typeface="ＭＳ Ｐゴシック"/>
                <a:ea typeface="ＭＳ Ｐゴシック"/>
                <a:cs typeface="ＭＳ Ｐゴシック"/>
              </a:defRPr>
            </a:pPr>
            <a:endParaRPr lang="ja-JP"/>
          </a:p>
        </c:txPr>
        <c:crossAx val="157832704"/>
        <c:crosses val="max"/>
        <c:crossBetween val="between"/>
      </c:valAx>
      <c:spPr>
        <a:gradFill rotWithShape="0">
          <a:gsLst>
            <a:gs pos="0">
              <a:srgbClr xmlns:mc="http://schemas.openxmlformats.org/markup-compatibility/2006" xmlns:a14="http://schemas.microsoft.com/office/drawing/2010/main" val="C0C0C0" mc:Ignorable="a14" a14:legacySpreadsheetColorIndex="22"/>
            </a:gs>
            <a:gs pos="50000">
              <a:srgbClr xmlns:mc="http://schemas.openxmlformats.org/markup-compatibility/2006" xmlns:a14="http://schemas.microsoft.com/office/drawing/2010/main" val="ECECEC" mc:Ignorable="a14" a14:legacySpreadsheetColorIndex="22">
                <a:gamma/>
                <a:tint val="30196"/>
                <a:invGamma/>
              </a:srgbClr>
            </a:gs>
            <a:gs pos="100000">
              <a:srgbClr xmlns:mc="http://schemas.openxmlformats.org/markup-compatibility/2006" xmlns:a14="http://schemas.microsoft.com/office/drawing/2010/main" val="C0C0C0" mc:Ignorable="a14" a14:legacySpreadsheetColorIndex="22"/>
            </a:gs>
          </a:gsLst>
          <a:lin ang="2700000" scaled="1"/>
        </a:gradFill>
        <a:ln w="12700">
          <a:solidFill>
            <a:srgbClr val="808080"/>
          </a:solidFill>
          <a:prstDash val="solid"/>
        </a:ln>
      </c:spPr>
    </c:plotArea>
    <c:legend>
      <c:legendPos val="l"/>
      <c:layout>
        <c:manualLayout>
          <c:xMode val="edge"/>
          <c:yMode val="edge"/>
          <c:wMode val="edge"/>
          <c:hMode val="edge"/>
          <c:x val="3.1908104658583281E-3"/>
          <c:y val="5.4585108804319328E-3"/>
          <c:w val="0.12827064772614974"/>
          <c:h val="0.20633194176743275"/>
        </c:manualLayout>
      </c:layout>
      <c:overlay val="0"/>
      <c:spPr>
        <a:solidFill>
          <a:srgbClr val="FFFFFF"/>
        </a:solidFill>
        <a:ln w="3175">
          <a:solidFill>
            <a:srgbClr val="000000"/>
          </a:solidFill>
          <a:prstDash val="solid"/>
        </a:ln>
      </c:spPr>
      <c:txPr>
        <a:bodyPr/>
        <a:lstStyle/>
        <a:p>
          <a:pPr>
            <a:defRPr sz="1100" b="0" i="0" u="none" strike="noStrike" baseline="0">
              <a:solidFill>
                <a:srgbClr val="000000"/>
              </a:solidFill>
              <a:latin typeface="ＭＳ Ｐゴシック"/>
              <a:ea typeface="ＭＳ Ｐゴシック"/>
              <a:cs typeface="ＭＳ Ｐゴシック"/>
            </a:defRPr>
          </a:pPr>
          <a:endParaRPr lang="ja-JP"/>
        </a:p>
      </c:txPr>
    </c:legend>
    <c:plotVisOnly val="1"/>
    <c:dispBlanksAs val="gap"/>
    <c:showDLblsOverMax val="0"/>
  </c:chart>
  <c:spPr>
    <a:solidFill>
      <a:srgbClr val="FFFFFF"/>
    </a:solidFill>
    <a:ln w="3175">
      <a:solidFill>
        <a:srgbClr val="000000"/>
      </a:solidFill>
      <a:prstDash val="solid"/>
    </a:ln>
  </c:spPr>
  <c:txPr>
    <a:bodyPr/>
    <a:lstStyle/>
    <a:p>
      <a:pPr>
        <a:defRPr sz="20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0"/>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7312672420482339"/>
          <c:y val="2.7180082980209391E-2"/>
          <c:w val="0.74354052074534227"/>
          <c:h val="0.87995518648427906"/>
        </c:manualLayout>
      </c:layout>
      <c:barChart>
        <c:barDir val="col"/>
        <c:grouping val="stacked"/>
        <c:varyColors val="0"/>
        <c:ser>
          <c:idx val="4"/>
          <c:order val="0"/>
          <c:tx>
            <c:strRef>
              <c:f>●ｼﾐｭﾚｰｼｮﾝ結果!$F$227</c:f>
              <c:strCache>
                <c:ptCount val="1"/>
                <c:pt idx="0">
                  <c:v>ﾊｰﾄﾞｳｪｱ等</c:v>
                </c:pt>
              </c:strCache>
            </c:strRef>
          </c:tx>
          <c:spPr>
            <a:gradFill rotWithShape="0">
              <a:gsLst>
                <a:gs pos="0">
                  <a:srgbClr xmlns:mc="http://schemas.openxmlformats.org/markup-compatibility/2006" xmlns:a14="http://schemas.microsoft.com/office/drawing/2010/main" val="FFCC00" mc:Ignorable="a14" a14:legacySpreadsheetColorIndex="51"/>
                </a:gs>
                <a:gs pos="50000">
                  <a:srgbClr xmlns:mc="http://schemas.openxmlformats.org/markup-compatibility/2006" xmlns:a14="http://schemas.microsoft.com/office/drawing/2010/main" val="FFD943" mc:Ignorable="a14" a14:legacySpreadsheetColorIndex="51">
                    <a:gamma/>
                    <a:tint val="73725"/>
                    <a:invGamma/>
                  </a:srgbClr>
                </a:gs>
                <a:gs pos="100000">
                  <a:srgbClr xmlns:mc="http://schemas.openxmlformats.org/markup-compatibility/2006" xmlns:a14="http://schemas.microsoft.com/office/drawing/2010/main" val="FFCC00" mc:Ignorable="a14" a14:legacySpreadsheetColorIndex="51"/>
                </a:gs>
              </a:gsLst>
              <a:lin ang="0" scaled="1"/>
            </a:gradFill>
            <a:ln w="12700">
              <a:solidFill>
                <a:srgbClr val="969696"/>
              </a:solidFill>
              <a:prstDash val="solid"/>
            </a:ln>
          </c:spPr>
          <c:invertIfNegative val="0"/>
          <c:cat>
            <c:strRef>
              <c:f>●ｼﾐｭﾚｰｼｮﾝ結果!$G$222:$Q$222</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●ｼﾐｭﾚｰｼｮﾝ結果!$G$227:$Q$227</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3"/>
          <c:order val="1"/>
          <c:tx>
            <c:strRef>
              <c:f>●ｼﾐｭﾚｰｼｮﾝ結果!$F$226</c:f>
              <c:strCache>
                <c:ptCount val="1"/>
                <c:pt idx="0">
                  <c:v>初期導入費</c:v>
                </c:pt>
              </c:strCache>
            </c:strRef>
          </c:tx>
          <c:spPr>
            <a:gradFill rotWithShape="0">
              <a:gsLst>
                <a:gs pos="0">
                  <a:srgbClr xmlns:mc="http://schemas.openxmlformats.org/markup-compatibility/2006" xmlns:a14="http://schemas.microsoft.com/office/drawing/2010/main" val="FF99CC" mc:Ignorable="a14" a14:legacySpreadsheetColorIndex="45"/>
                </a:gs>
                <a:gs pos="50000">
                  <a:srgbClr xmlns:mc="http://schemas.openxmlformats.org/markup-compatibility/2006" xmlns:a14="http://schemas.microsoft.com/office/drawing/2010/main" val="FFB4D9" mc:Ignorable="a14" a14:legacySpreadsheetColorIndex="45">
                    <a:gamma/>
                    <a:tint val="73725"/>
                    <a:invGamma/>
                  </a:srgbClr>
                </a:gs>
                <a:gs pos="100000">
                  <a:srgbClr xmlns:mc="http://schemas.openxmlformats.org/markup-compatibility/2006" xmlns:a14="http://schemas.microsoft.com/office/drawing/2010/main" val="FF99CC" mc:Ignorable="a14" a14:legacySpreadsheetColorIndex="45"/>
                </a:gs>
              </a:gsLst>
              <a:lin ang="0" scaled="1"/>
            </a:gradFill>
            <a:ln w="12700">
              <a:solidFill>
                <a:srgbClr val="969696"/>
              </a:solidFill>
              <a:prstDash val="solid"/>
            </a:ln>
          </c:spPr>
          <c:invertIfNegative val="0"/>
          <c:cat>
            <c:strRef>
              <c:f>●ｼﾐｭﾚｰｼｮﾝ結果!$G$222:$Q$222</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●ｼﾐｭﾚｰｼｮﾝ結果!$G$226:$Q$226</c:f>
              <c:numCache>
                <c:formatCode>#,##0_ ;[Red]\-#,##0\ </c:formatCode>
                <c:ptCount val="11"/>
                <c:pt idx="0">
                  <c:v>0</c:v>
                </c:pt>
                <c:pt idx="1">
                  <c:v>-1630000</c:v>
                </c:pt>
                <c:pt idx="2">
                  <c:v>0</c:v>
                </c:pt>
                <c:pt idx="3">
                  <c:v>0</c:v>
                </c:pt>
                <c:pt idx="4">
                  <c:v>0</c:v>
                </c:pt>
                <c:pt idx="5">
                  <c:v>0</c:v>
                </c:pt>
                <c:pt idx="6">
                  <c:v>0</c:v>
                </c:pt>
                <c:pt idx="7">
                  <c:v>0</c:v>
                </c:pt>
                <c:pt idx="8">
                  <c:v>0</c:v>
                </c:pt>
                <c:pt idx="9">
                  <c:v>0</c:v>
                </c:pt>
                <c:pt idx="10">
                  <c:v>0</c:v>
                </c:pt>
              </c:numCache>
            </c:numRef>
          </c:val>
        </c:ser>
        <c:ser>
          <c:idx val="2"/>
          <c:order val="2"/>
          <c:tx>
            <c:strRef>
              <c:f>●ｼﾐｭﾚｰｼｮﾝ結果!$F$225</c:f>
              <c:strCache>
                <c:ptCount val="1"/>
                <c:pt idx="0">
                  <c:v>年額費計</c:v>
                </c:pt>
              </c:strCache>
            </c:strRef>
          </c:tx>
          <c:spPr>
            <a:gradFill rotWithShape="0">
              <a:gsLst>
                <a:gs pos="0">
                  <a:srgbClr xmlns:mc="http://schemas.openxmlformats.org/markup-compatibility/2006" xmlns:a14="http://schemas.microsoft.com/office/drawing/2010/main" val="FF00FF" mc:Ignorable="a14" a14:legacySpreadsheetColorIndex="14"/>
                </a:gs>
                <a:gs pos="50000">
                  <a:srgbClr xmlns:mc="http://schemas.openxmlformats.org/markup-compatibility/2006" xmlns:a14="http://schemas.microsoft.com/office/drawing/2010/main" val="FF43FF" mc:Ignorable="a14" a14:legacySpreadsheetColorIndex="14">
                    <a:gamma/>
                    <a:tint val="73725"/>
                    <a:invGamma/>
                  </a:srgbClr>
                </a:gs>
                <a:gs pos="100000">
                  <a:srgbClr xmlns:mc="http://schemas.openxmlformats.org/markup-compatibility/2006" xmlns:a14="http://schemas.microsoft.com/office/drawing/2010/main" val="FF00FF" mc:Ignorable="a14" a14:legacySpreadsheetColorIndex="14"/>
                </a:gs>
              </a:gsLst>
              <a:lin ang="0" scaled="1"/>
            </a:gradFill>
            <a:ln w="12700">
              <a:solidFill>
                <a:srgbClr val="969696"/>
              </a:solidFill>
              <a:prstDash val="solid"/>
            </a:ln>
          </c:spPr>
          <c:invertIfNegative val="0"/>
          <c:cat>
            <c:strRef>
              <c:f>●ｼﾐｭﾚｰｼｮﾝ結果!$G$222:$Q$222</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●ｼﾐｭﾚｰｼｮﾝ結果!$G$225:$Q$225</c:f>
              <c:numCache>
                <c:formatCode>#,##0_ ;[Red]\-#,##0\ </c:formatCode>
                <c:ptCount val="11"/>
                <c:pt idx="0">
                  <c:v>0</c:v>
                </c:pt>
                <c:pt idx="1">
                  <c:v>-270000</c:v>
                </c:pt>
                <c:pt idx="2">
                  <c:v>-270000</c:v>
                </c:pt>
                <c:pt idx="3">
                  <c:v>-270000</c:v>
                </c:pt>
                <c:pt idx="4">
                  <c:v>-270000</c:v>
                </c:pt>
                <c:pt idx="5">
                  <c:v>-270000</c:v>
                </c:pt>
                <c:pt idx="6">
                  <c:v>-270000</c:v>
                </c:pt>
                <c:pt idx="7">
                  <c:v>-270000</c:v>
                </c:pt>
                <c:pt idx="8">
                  <c:v>-270000</c:v>
                </c:pt>
                <c:pt idx="9">
                  <c:v>-270000</c:v>
                </c:pt>
                <c:pt idx="10">
                  <c:v>-270000</c:v>
                </c:pt>
              </c:numCache>
            </c:numRef>
          </c:val>
        </c:ser>
        <c:ser>
          <c:idx val="1"/>
          <c:order val="3"/>
          <c:tx>
            <c:strRef>
              <c:f>●ｼﾐｭﾚｰｼｮﾝ結果!$F$224</c:f>
              <c:strCache>
                <c:ptCount val="1"/>
                <c:pt idx="0">
                  <c:v>教育運用支援</c:v>
                </c:pt>
              </c:strCache>
            </c:strRef>
          </c:tx>
          <c:spPr>
            <a:gradFill rotWithShape="0">
              <a:gsLst>
                <a:gs pos="0">
                  <a:srgbClr xmlns:mc="http://schemas.openxmlformats.org/markup-compatibility/2006" xmlns:a14="http://schemas.microsoft.com/office/drawing/2010/main" val="800000" mc:Ignorable="a14" a14:legacySpreadsheetColorIndex="16"/>
                </a:gs>
                <a:gs pos="50000">
                  <a:srgbClr xmlns:mc="http://schemas.openxmlformats.org/markup-compatibility/2006" xmlns:a14="http://schemas.microsoft.com/office/drawing/2010/main" val="A14343" mc:Ignorable="a14" a14:legacySpreadsheetColorIndex="16">
                    <a:gamma/>
                    <a:tint val="73725"/>
                    <a:invGamma/>
                  </a:srgbClr>
                </a:gs>
                <a:gs pos="100000">
                  <a:srgbClr xmlns:mc="http://schemas.openxmlformats.org/markup-compatibility/2006" xmlns:a14="http://schemas.microsoft.com/office/drawing/2010/main" val="800000" mc:Ignorable="a14" a14:legacySpreadsheetColorIndex="16"/>
                </a:gs>
              </a:gsLst>
              <a:lin ang="0" scaled="1"/>
            </a:gradFill>
            <a:ln w="12700">
              <a:solidFill>
                <a:srgbClr val="969696"/>
              </a:solidFill>
              <a:prstDash val="solid"/>
            </a:ln>
          </c:spPr>
          <c:invertIfNegative val="0"/>
          <c:cat>
            <c:strRef>
              <c:f>●ｼﾐｭﾚｰｼｮﾝ結果!$G$222:$Q$222</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●ｼﾐｭﾚｰｼｮﾝ結果!$G$224:$Q$224</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0"/>
          <c:order val="4"/>
          <c:tx>
            <c:strRef>
              <c:f>●ｼﾐｭﾚｰｼｮﾝ結果!$F$223</c:f>
              <c:strCache>
                <c:ptCount val="1"/>
                <c:pt idx="0">
                  <c:v>削減効果</c:v>
                </c:pt>
              </c:strCache>
            </c:strRef>
          </c:tx>
          <c:spPr>
            <a:gradFill rotWithShape="0">
              <a:gsLst>
                <a:gs pos="0">
                  <a:srgbClr xmlns:mc="http://schemas.openxmlformats.org/markup-compatibility/2006" xmlns:a14="http://schemas.microsoft.com/office/drawing/2010/main" val="99CCFF" mc:Ignorable="a14" a14:legacySpreadsheetColorIndex="44"/>
                </a:gs>
                <a:gs pos="50000">
                  <a:srgbClr xmlns:mc="http://schemas.openxmlformats.org/markup-compatibility/2006" xmlns:a14="http://schemas.microsoft.com/office/drawing/2010/main" val="D6EBFF" mc:Ignorable="a14" a14:legacySpreadsheetColorIndex="44">
                    <a:gamma/>
                    <a:tint val="40000"/>
                    <a:invGamma/>
                  </a:srgbClr>
                </a:gs>
                <a:gs pos="100000">
                  <a:srgbClr xmlns:mc="http://schemas.openxmlformats.org/markup-compatibility/2006" xmlns:a14="http://schemas.microsoft.com/office/drawing/2010/main" val="99CCFF" mc:Ignorable="a14" a14:legacySpreadsheetColorIndex="44"/>
                </a:gs>
              </a:gsLst>
              <a:lin ang="0" scaled="1"/>
            </a:gradFill>
            <a:ln w="3175">
              <a:solidFill>
                <a:srgbClr val="969696"/>
              </a:solidFill>
              <a:prstDash val="solid"/>
            </a:ln>
          </c:spPr>
          <c:invertIfNegative val="0"/>
          <c:cat>
            <c:strRef>
              <c:f>●ｼﾐｭﾚｰｼｮﾝ結果!$G$222:$Q$222</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●ｼﾐｭﾚｰｼｮﾝ結果!$G$223:$Q$223</c:f>
              <c:numCache>
                <c:formatCode>#,##0_ ;[Red]\-#,##0\ </c:formatCode>
                <c:ptCount val="11"/>
                <c:pt idx="0">
                  <c:v>0</c:v>
                </c:pt>
                <c:pt idx="1">
                  <c:v>0</c:v>
                </c:pt>
                <c:pt idx="2">
                  <c:v>695361.00000000093</c:v>
                </c:pt>
                <c:pt idx="3">
                  <c:v>897240</c:v>
                </c:pt>
                <c:pt idx="4">
                  <c:v>1121550</c:v>
                </c:pt>
                <c:pt idx="5">
                  <c:v>1345860</c:v>
                </c:pt>
                <c:pt idx="6">
                  <c:v>1345860</c:v>
                </c:pt>
                <c:pt idx="7">
                  <c:v>1345860</c:v>
                </c:pt>
                <c:pt idx="8">
                  <c:v>1345860</c:v>
                </c:pt>
                <c:pt idx="9">
                  <c:v>1345860</c:v>
                </c:pt>
                <c:pt idx="10">
                  <c:v>1345860</c:v>
                </c:pt>
              </c:numCache>
            </c:numRef>
          </c:val>
        </c:ser>
        <c:dLbls>
          <c:showLegendKey val="0"/>
          <c:showVal val="0"/>
          <c:showCatName val="0"/>
          <c:showSerName val="0"/>
          <c:showPercent val="0"/>
          <c:showBubbleSize val="0"/>
        </c:dLbls>
        <c:gapWidth val="80"/>
        <c:overlap val="100"/>
        <c:axId val="157895296"/>
        <c:axId val="157897472"/>
      </c:barChart>
      <c:lineChart>
        <c:grouping val="standard"/>
        <c:varyColors val="0"/>
        <c:ser>
          <c:idx val="5"/>
          <c:order val="5"/>
          <c:tx>
            <c:strRef>
              <c:f>●ｼﾐｭﾚｰｼｮﾝ結果!$F$228</c:f>
              <c:strCache>
                <c:ptCount val="1"/>
                <c:pt idx="0">
                  <c:v>差額</c:v>
                </c:pt>
              </c:strCache>
            </c:strRef>
          </c:tx>
          <c:cat>
            <c:strRef>
              <c:f>●ｼﾐｭﾚｰｼｮﾝ結果!$G$222:$Q$222</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●ｼﾐｭﾚｰｼｮﾝ結果!$G$228:$Q$228</c:f>
            </c:numRef>
          </c:val>
          <c:smooth val="0"/>
        </c:ser>
        <c:ser>
          <c:idx val="6"/>
          <c:order val="6"/>
          <c:tx>
            <c:strRef>
              <c:f>●ｼﾐｭﾚｰｼｮﾝ結果!$F$229</c:f>
              <c:strCache>
                <c:ptCount val="1"/>
                <c:pt idx="0">
                  <c:v>累積効果</c:v>
                </c:pt>
              </c:strCache>
            </c:strRef>
          </c:tx>
          <c:spPr>
            <a:ln w="38100">
              <a:solidFill>
                <a:srgbClr val="008000"/>
              </a:solidFill>
              <a:prstDash val="solid"/>
            </a:ln>
          </c:spPr>
          <c:marker>
            <c:symbol val="circle"/>
            <c:size val="7"/>
            <c:spPr>
              <a:solidFill>
                <a:srgbClr val="008000"/>
              </a:solidFill>
              <a:ln>
                <a:solidFill>
                  <a:srgbClr val="008000"/>
                </a:solidFill>
                <a:prstDash val="solid"/>
              </a:ln>
            </c:spPr>
          </c:marker>
          <c:cat>
            <c:strRef>
              <c:f>●ｼﾐｭﾚｰｼｮﾝ結果!$G$222:$Q$222</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●ｼﾐｭﾚｰｼｮﾝ結果!$G$229:$Q$229</c:f>
              <c:numCache>
                <c:formatCode>#,##0_ ;[Red]\-#,##0\ </c:formatCode>
                <c:ptCount val="11"/>
                <c:pt idx="0">
                  <c:v>0</c:v>
                </c:pt>
                <c:pt idx="1">
                  <c:v>-1900000</c:v>
                </c:pt>
                <c:pt idx="2">
                  <c:v>-1474638.9999999991</c:v>
                </c:pt>
                <c:pt idx="3">
                  <c:v>-847398.99999999907</c:v>
                </c:pt>
                <c:pt idx="4">
                  <c:v>4151.0000000009313</c:v>
                </c:pt>
                <c:pt idx="5">
                  <c:v>1080011.0000000009</c:v>
                </c:pt>
                <c:pt idx="6">
                  <c:v>2155871.0000000009</c:v>
                </c:pt>
                <c:pt idx="7">
                  <c:v>3231731.0000000009</c:v>
                </c:pt>
                <c:pt idx="8">
                  <c:v>4307591.0000000009</c:v>
                </c:pt>
                <c:pt idx="9">
                  <c:v>5383451.0000000009</c:v>
                </c:pt>
                <c:pt idx="10">
                  <c:v>6459311.0000000009</c:v>
                </c:pt>
              </c:numCache>
            </c:numRef>
          </c:val>
          <c:smooth val="0"/>
        </c:ser>
        <c:dLbls>
          <c:showLegendKey val="0"/>
          <c:showVal val="0"/>
          <c:showCatName val="0"/>
          <c:showSerName val="0"/>
          <c:showPercent val="0"/>
          <c:showBubbleSize val="0"/>
        </c:dLbls>
        <c:marker val="1"/>
        <c:smooth val="0"/>
        <c:axId val="157895296"/>
        <c:axId val="157897472"/>
      </c:lineChart>
      <c:lineChart>
        <c:grouping val="standard"/>
        <c:varyColors val="0"/>
        <c:ser>
          <c:idx val="7"/>
          <c:order val="7"/>
          <c:tx>
            <c:strRef>
              <c:f>●ｼﾐｭﾚｰｼｮﾝ結果!$F$230</c:f>
              <c:strCache>
                <c:ptCount val="1"/>
                <c:pt idx="0">
                  <c:v>購買電子化率</c:v>
                </c:pt>
              </c:strCache>
            </c:strRef>
          </c:tx>
          <c:spPr>
            <a:ln w="25400">
              <a:solidFill>
                <a:srgbClr val="FF0000"/>
              </a:solidFill>
              <a:prstDash val="sysDash"/>
            </a:ln>
          </c:spPr>
          <c:marker>
            <c:symbol val="circle"/>
            <c:size val="7"/>
            <c:spPr>
              <a:solidFill>
                <a:srgbClr val="FF0000"/>
              </a:solidFill>
              <a:ln>
                <a:solidFill>
                  <a:srgbClr val="FFFFFF"/>
                </a:solidFill>
                <a:prstDash val="solid"/>
              </a:ln>
            </c:spPr>
          </c:marker>
          <c:cat>
            <c:strRef>
              <c:f>●ｼﾐｭﾚｰｼｮﾝ結果!$G$222:$Q$222</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●ｼﾐｭﾚｰｼｮﾝ結果!$G$230:$Q$230</c:f>
              <c:numCache>
                <c:formatCode>0.0%</c:formatCode>
                <c:ptCount val="11"/>
                <c:pt idx="0">
                  <c:v>0</c:v>
                </c:pt>
                <c:pt idx="1">
                  <c:v>0</c:v>
                </c:pt>
                <c:pt idx="2">
                  <c:v>0.31</c:v>
                </c:pt>
                <c:pt idx="3">
                  <c:v>0.4</c:v>
                </c:pt>
                <c:pt idx="4">
                  <c:v>0.5</c:v>
                </c:pt>
                <c:pt idx="5">
                  <c:v>0.6</c:v>
                </c:pt>
                <c:pt idx="6">
                  <c:v>0.6</c:v>
                </c:pt>
                <c:pt idx="7">
                  <c:v>0.6</c:v>
                </c:pt>
                <c:pt idx="8">
                  <c:v>0.6</c:v>
                </c:pt>
                <c:pt idx="9">
                  <c:v>0.6</c:v>
                </c:pt>
                <c:pt idx="10">
                  <c:v>0.6</c:v>
                </c:pt>
              </c:numCache>
            </c:numRef>
          </c:val>
          <c:smooth val="0"/>
        </c:ser>
        <c:ser>
          <c:idx val="8"/>
          <c:order val="8"/>
          <c:tx>
            <c:strRef>
              <c:f>●ｼﾐｭﾚｰｼｮﾝ結果!$F$231</c:f>
              <c:strCache>
                <c:ptCount val="1"/>
                <c:pt idx="0">
                  <c:v>出来高電子化率</c:v>
                </c:pt>
              </c:strCache>
            </c:strRef>
          </c:tx>
          <c:spPr>
            <a:ln w="12700">
              <a:solidFill>
                <a:srgbClr val="0000FF"/>
              </a:solidFill>
              <a:prstDash val="sysDash"/>
            </a:ln>
          </c:spPr>
          <c:marker>
            <c:symbol val="circle"/>
            <c:size val="7"/>
            <c:spPr>
              <a:solidFill>
                <a:srgbClr val="0000FF"/>
              </a:solidFill>
              <a:ln>
                <a:solidFill>
                  <a:srgbClr val="FFFFFF"/>
                </a:solidFill>
                <a:prstDash val="solid"/>
              </a:ln>
            </c:spPr>
          </c:marker>
          <c:cat>
            <c:strRef>
              <c:f>●ｼﾐｭﾚｰｼｮﾝ結果!$G$222:$Q$222</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●ｼﾐｭﾚｰｼｮﾝ結果!$G$231:$Q$231</c:f>
              <c:numCache>
                <c:formatCode>0.0%</c:formatCode>
                <c:ptCount val="11"/>
                <c:pt idx="0">
                  <c:v>0</c:v>
                </c:pt>
                <c:pt idx="1">
                  <c:v>0</c:v>
                </c:pt>
                <c:pt idx="2">
                  <c:v>0</c:v>
                </c:pt>
                <c:pt idx="3">
                  <c:v>0</c:v>
                </c:pt>
                <c:pt idx="4">
                  <c:v>0</c:v>
                </c:pt>
                <c:pt idx="5">
                  <c:v>0</c:v>
                </c:pt>
                <c:pt idx="6">
                  <c:v>0</c:v>
                </c:pt>
                <c:pt idx="7">
                  <c:v>0</c:v>
                </c:pt>
                <c:pt idx="8">
                  <c:v>0</c:v>
                </c:pt>
                <c:pt idx="9">
                  <c:v>0</c:v>
                </c:pt>
                <c:pt idx="10">
                  <c:v>0</c:v>
                </c:pt>
              </c:numCache>
            </c:numRef>
          </c:val>
          <c:smooth val="0"/>
        </c:ser>
        <c:dLbls>
          <c:showLegendKey val="0"/>
          <c:showVal val="0"/>
          <c:showCatName val="0"/>
          <c:showSerName val="0"/>
          <c:showPercent val="0"/>
          <c:showBubbleSize val="0"/>
        </c:dLbls>
        <c:marker val="1"/>
        <c:smooth val="0"/>
        <c:axId val="157899392"/>
        <c:axId val="157929856"/>
      </c:lineChart>
      <c:catAx>
        <c:axId val="157895296"/>
        <c:scaling>
          <c:orientation val="minMax"/>
        </c:scaling>
        <c:delete val="0"/>
        <c:axPos val="b"/>
        <c:numFmt formatCode="General" sourceLinked="1"/>
        <c:majorTickMark val="in"/>
        <c:minorTickMark val="none"/>
        <c:tickLblPos val="low"/>
        <c:spPr>
          <a:ln w="3175">
            <a:solidFill>
              <a:srgbClr val="808080"/>
            </a:solidFill>
            <a:prstDash val="solid"/>
          </a:ln>
        </c:spPr>
        <c:txPr>
          <a:bodyPr rot="0" vert="horz"/>
          <a:lstStyle/>
          <a:p>
            <a:pPr>
              <a:defRPr sz="1850" b="0" i="0" u="none" strike="noStrike" baseline="0">
                <a:solidFill>
                  <a:srgbClr val="000000"/>
                </a:solidFill>
                <a:latin typeface="ＭＳ Ｐゴシック"/>
                <a:ea typeface="ＭＳ Ｐゴシック"/>
                <a:cs typeface="ＭＳ Ｐゴシック"/>
              </a:defRPr>
            </a:pPr>
            <a:endParaRPr lang="ja-JP"/>
          </a:p>
        </c:txPr>
        <c:crossAx val="157897472"/>
        <c:crosses val="autoZero"/>
        <c:auto val="1"/>
        <c:lblAlgn val="ctr"/>
        <c:lblOffset val="100"/>
        <c:tickLblSkip val="1"/>
        <c:tickMarkSkip val="1"/>
        <c:noMultiLvlLbl val="0"/>
      </c:catAx>
      <c:valAx>
        <c:axId val="157897472"/>
        <c:scaling>
          <c:orientation val="minMax"/>
        </c:scaling>
        <c:delete val="0"/>
        <c:axPos val="l"/>
        <c:majorGridlines>
          <c:spPr>
            <a:ln w="3175">
              <a:solidFill>
                <a:srgbClr val="808080"/>
              </a:solidFill>
              <a:prstDash val="solid"/>
            </a:ln>
          </c:spPr>
        </c:majorGridlines>
        <c:numFmt formatCode="#,##0_ ;[Red]\-#,##0\ " sourceLinked="1"/>
        <c:majorTickMark val="in"/>
        <c:minorTickMark val="none"/>
        <c:tickLblPos val="nextTo"/>
        <c:spPr>
          <a:ln w="3175">
            <a:solidFill>
              <a:srgbClr val="000000"/>
            </a:solidFill>
            <a:prstDash val="solid"/>
          </a:ln>
        </c:spPr>
        <c:txPr>
          <a:bodyPr rot="0" vert="horz"/>
          <a:lstStyle/>
          <a:p>
            <a:pPr>
              <a:defRPr sz="1850" b="0" i="0" u="none" strike="noStrike" baseline="0">
                <a:solidFill>
                  <a:srgbClr val="000000"/>
                </a:solidFill>
                <a:latin typeface="ＭＳ Ｐゴシック"/>
                <a:ea typeface="ＭＳ Ｐゴシック"/>
                <a:cs typeface="ＭＳ Ｐゴシック"/>
              </a:defRPr>
            </a:pPr>
            <a:endParaRPr lang="ja-JP"/>
          </a:p>
        </c:txPr>
        <c:crossAx val="157895296"/>
        <c:crosses val="autoZero"/>
        <c:crossBetween val="between"/>
        <c:dispUnits>
          <c:builtInUnit val="tenThousands"/>
          <c:dispUnitsLbl>
            <c:layout>
              <c:manualLayout>
                <c:xMode val="edge"/>
                <c:yMode val="edge"/>
                <c:x val="9.2377319258543825E-2"/>
                <c:y val="0.43148381731082408"/>
              </c:manualLayout>
            </c:layout>
            <c:spPr>
              <a:noFill/>
              <a:ln w="25400">
                <a:noFill/>
              </a:ln>
            </c:spPr>
            <c:txPr>
              <a:bodyPr rot="0" vert="wordArtVertRtl"/>
              <a:lstStyle/>
              <a:p>
                <a:pPr algn="ctr">
                  <a:defRPr sz="1200" b="1" i="0" u="none" strike="noStrike" baseline="0">
                    <a:solidFill>
                      <a:srgbClr val="000000"/>
                    </a:solidFill>
                    <a:latin typeface="ＭＳ Ｐゴシック"/>
                    <a:ea typeface="ＭＳ Ｐゴシック"/>
                    <a:cs typeface="ＭＳ Ｐゴシック"/>
                  </a:defRPr>
                </a:pPr>
                <a:endParaRPr lang="ja-JP"/>
              </a:p>
            </c:txPr>
          </c:dispUnitsLbl>
        </c:dispUnits>
      </c:valAx>
      <c:catAx>
        <c:axId val="157899392"/>
        <c:scaling>
          <c:orientation val="minMax"/>
        </c:scaling>
        <c:delete val="1"/>
        <c:axPos val="b"/>
        <c:majorTickMark val="out"/>
        <c:minorTickMark val="none"/>
        <c:tickLblPos val="nextTo"/>
        <c:crossAx val="157929856"/>
        <c:crosses val="autoZero"/>
        <c:auto val="1"/>
        <c:lblAlgn val="ctr"/>
        <c:lblOffset val="100"/>
        <c:noMultiLvlLbl val="0"/>
      </c:catAx>
      <c:valAx>
        <c:axId val="157929856"/>
        <c:scaling>
          <c:orientation val="minMax"/>
        </c:scaling>
        <c:delete val="0"/>
        <c:axPos val="r"/>
        <c:numFmt formatCode="0%" sourceLinked="0"/>
        <c:majorTickMark val="in"/>
        <c:minorTickMark val="none"/>
        <c:tickLblPos val="nextTo"/>
        <c:spPr>
          <a:ln w="3175">
            <a:solidFill>
              <a:srgbClr val="000000"/>
            </a:solidFill>
            <a:prstDash val="solid"/>
          </a:ln>
        </c:spPr>
        <c:txPr>
          <a:bodyPr rot="0" vert="horz"/>
          <a:lstStyle/>
          <a:p>
            <a:pPr>
              <a:defRPr sz="1625" b="0" i="0" u="none" strike="noStrike" baseline="0">
                <a:solidFill>
                  <a:srgbClr val="000000"/>
                </a:solidFill>
                <a:latin typeface="ＭＳ Ｐゴシック"/>
                <a:ea typeface="ＭＳ Ｐゴシック"/>
                <a:cs typeface="ＭＳ Ｐゴシック"/>
              </a:defRPr>
            </a:pPr>
            <a:endParaRPr lang="ja-JP"/>
          </a:p>
        </c:txPr>
        <c:crossAx val="157899392"/>
        <c:crosses val="max"/>
        <c:crossBetween val="between"/>
      </c:valAx>
      <c:spPr>
        <a:gradFill rotWithShape="0">
          <a:gsLst>
            <a:gs pos="0">
              <a:srgbClr xmlns:mc="http://schemas.openxmlformats.org/markup-compatibility/2006" xmlns:a14="http://schemas.microsoft.com/office/drawing/2010/main" val="C0C0C0" mc:Ignorable="a14" a14:legacySpreadsheetColorIndex="22"/>
            </a:gs>
            <a:gs pos="50000">
              <a:srgbClr xmlns:mc="http://schemas.openxmlformats.org/markup-compatibility/2006" xmlns:a14="http://schemas.microsoft.com/office/drawing/2010/main" val="ECECEC" mc:Ignorable="a14" a14:legacySpreadsheetColorIndex="22">
                <a:gamma/>
                <a:tint val="30196"/>
                <a:invGamma/>
              </a:srgbClr>
            </a:gs>
            <a:gs pos="100000">
              <a:srgbClr xmlns:mc="http://schemas.openxmlformats.org/markup-compatibility/2006" xmlns:a14="http://schemas.microsoft.com/office/drawing/2010/main" val="C0C0C0" mc:Ignorable="a14" a14:legacySpreadsheetColorIndex="22"/>
            </a:gs>
          </a:gsLst>
          <a:lin ang="2700000" scaled="1"/>
        </a:gradFill>
        <a:ln w="12700">
          <a:solidFill>
            <a:srgbClr val="808080"/>
          </a:solidFill>
          <a:prstDash val="solid"/>
        </a:ln>
      </c:spPr>
    </c:plotArea>
    <c:legend>
      <c:legendPos val="l"/>
      <c:layout>
        <c:manualLayout>
          <c:xMode val="edge"/>
          <c:yMode val="edge"/>
          <c:wMode val="edge"/>
          <c:hMode val="edge"/>
          <c:x val="3.2299741602067182E-3"/>
          <c:y val="5.6625141562853904E-3"/>
          <c:w val="0.11498714792433891"/>
          <c:h val="0.20271812569295203"/>
        </c:manualLayout>
      </c:layout>
      <c:overlay val="0"/>
      <c:spPr>
        <a:solidFill>
          <a:srgbClr val="FFFFFF"/>
        </a:solidFill>
        <a:ln w="3175">
          <a:solidFill>
            <a:srgbClr val="000000"/>
          </a:solidFill>
          <a:prstDash val="solid"/>
        </a:ln>
      </c:spPr>
      <c:txPr>
        <a:bodyPr/>
        <a:lstStyle/>
        <a:p>
          <a:pPr>
            <a:defRPr sz="1100" b="0" i="0" u="none" strike="noStrike" baseline="0">
              <a:solidFill>
                <a:srgbClr val="000000"/>
              </a:solidFill>
              <a:latin typeface="ＭＳ Ｐゴシック"/>
              <a:ea typeface="ＭＳ Ｐゴシック"/>
              <a:cs typeface="ＭＳ Ｐゴシック"/>
            </a:defRPr>
          </a:pPr>
          <a:endParaRPr lang="ja-JP"/>
        </a:p>
      </c:txPr>
    </c:legend>
    <c:plotVisOnly val="1"/>
    <c:dispBlanksAs val="gap"/>
    <c:showDLblsOverMax val="0"/>
  </c:chart>
  <c:spPr>
    <a:solidFill>
      <a:srgbClr val="FFFFFF"/>
    </a:solidFill>
    <a:ln w="3175">
      <a:solidFill>
        <a:srgbClr val="000000"/>
      </a:solidFill>
      <a:prstDash val="solid"/>
    </a:ln>
  </c:spPr>
  <c:txPr>
    <a:bodyPr/>
    <a:lstStyle/>
    <a:p>
      <a:pPr>
        <a:defRPr sz="19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8410864327751741"/>
          <c:y val="2.4830713458658924E-2"/>
          <c:w val="0.7267446445165161"/>
          <c:h val="0.87133230864021316"/>
        </c:manualLayout>
      </c:layout>
      <c:barChart>
        <c:barDir val="col"/>
        <c:grouping val="stacked"/>
        <c:varyColors val="0"/>
        <c:ser>
          <c:idx val="4"/>
          <c:order val="0"/>
          <c:tx>
            <c:strRef>
              <c:f>●ｼﾐｭﾚｰｼｮﾝ結果!$F$310</c:f>
              <c:strCache>
                <c:ptCount val="1"/>
                <c:pt idx="0">
                  <c:v>ﾊｰﾄﾞｳｪｱ等</c:v>
                </c:pt>
              </c:strCache>
            </c:strRef>
          </c:tx>
          <c:spPr>
            <a:gradFill rotWithShape="0">
              <a:gsLst>
                <a:gs pos="0">
                  <a:srgbClr xmlns:mc="http://schemas.openxmlformats.org/markup-compatibility/2006" xmlns:a14="http://schemas.microsoft.com/office/drawing/2010/main" val="FFCC00" mc:Ignorable="a14" a14:legacySpreadsheetColorIndex="51"/>
                </a:gs>
                <a:gs pos="50000">
                  <a:srgbClr xmlns:mc="http://schemas.openxmlformats.org/markup-compatibility/2006" xmlns:a14="http://schemas.microsoft.com/office/drawing/2010/main" val="FFD943" mc:Ignorable="a14" a14:legacySpreadsheetColorIndex="51">
                    <a:gamma/>
                    <a:tint val="73725"/>
                    <a:invGamma/>
                  </a:srgbClr>
                </a:gs>
                <a:gs pos="100000">
                  <a:srgbClr xmlns:mc="http://schemas.openxmlformats.org/markup-compatibility/2006" xmlns:a14="http://schemas.microsoft.com/office/drawing/2010/main" val="FFCC00" mc:Ignorable="a14" a14:legacySpreadsheetColorIndex="51"/>
                </a:gs>
              </a:gsLst>
              <a:lin ang="0" scaled="1"/>
            </a:gradFill>
            <a:ln w="12700">
              <a:solidFill>
                <a:srgbClr val="969696"/>
              </a:solidFill>
              <a:prstDash val="solid"/>
            </a:ln>
          </c:spPr>
          <c:invertIfNegative val="0"/>
          <c:cat>
            <c:strRef>
              <c:f>●ｼﾐｭﾚｰｼｮﾝ結果!$G$305:$Q$305</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●ｼﾐｭﾚｰｼｮﾝ結果!$G$310:$Q$310</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3"/>
          <c:order val="1"/>
          <c:tx>
            <c:strRef>
              <c:f>●ｼﾐｭﾚｰｼｮﾝ結果!$F$309</c:f>
              <c:strCache>
                <c:ptCount val="1"/>
                <c:pt idx="0">
                  <c:v>初期導入費</c:v>
                </c:pt>
              </c:strCache>
            </c:strRef>
          </c:tx>
          <c:spPr>
            <a:gradFill rotWithShape="0">
              <a:gsLst>
                <a:gs pos="0">
                  <a:srgbClr xmlns:mc="http://schemas.openxmlformats.org/markup-compatibility/2006" xmlns:a14="http://schemas.microsoft.com/office/drawing/2010/main" val="FF99CC" mc:Ignorable="a14" a14:legacySpreadsheetColorIndex="45"/>
                </a:gs>
                <a:gs pos="50000">
                  <a:srgbClr xmlns:mc="http://schemas.openxmlformats.org/markup-compatibility/2006" xmlns:a14="http://schemas.microsoft.com/office/drawing/2010/main" val="FFB4D9" mc:Ignorable="a14" a14:legacySpreadsheetColorIndex="45">
                    <a:gamma/>
                    <a:tint val="73725"/>
                    <a:invGamma/>
                  </a:srgbClr>
                </a:gs>
                <a:gs pos="100000">
                  <a:srgbClr xmlns:mc="http://schemas.openxmlformats.org/markup-compatibility/2006" xmlns:a14="http://schemas.microsoft.com/office/drawing/2010/main" val="FF99CC" mc:Ignorable="a14" a14:legacySpreadsheetColorIndex="45"/>
                </a:gs>
              </a:gsLst>
              <a:lin ang="0" scaled="1"/>
            </a:gradFill>
            <a:ln w="12700">
              <a:solidFill>
                <a:srgbClr val="969696"/>
              </a:solidFill>
              <a:prstDash val="solid"/>
            </a:ln>
          </c:spPr>
          <c:invertIfNegative val="0"/>
          <c:cat>
            <c:strRef>
              <c:f>●ｼﾐｭﾚｰｼｮﾝ結果!$G$305:$Q$305</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●ｼﾐｭﾚｰｼｮﾝ結果!$G$309:$Q$309</c:f>
              <c:numCache>
                <c:formatCode>#,##0_ ;[Red]\-#,##0\ </c:formatCode>
                <c:ptCount val="11"/>
                <c:pt idx="0">
                  <c:v>0</c:v>
                </c:pt>
                <c:pt idx="1">
                  <c:v>-30000</c:v>
                </c:pt>
                <c:pt idx="2">
                  <c:v>0</c:v>
                </c:pt>
                <c:pt idx="3">
                  <c:v>0</c:v>
                </c:pt>
                <c:pt idx="4">
                  <c:v>0</c:v>
                </c:pt>
                <c:pt idx="5">
                  <c:v>0</c:v>
                </c:pt>
                <c:pt idx="6">
                  <c:v>0</c:v>
                </c:pt>
                <c:pt idx="7">
                  <c:v>0</c:v>
                </c:pt>
                <c:pt idx="8">
                  <c:v>-30000</c:v>
                </c:pt>
                <c:pt idx="9">
                  <c:v>0</c:v>
                </c:pt>
                <c:pt idx="10">
                  <c:v>0</c:v>
                </c:pt>
              </c:numCache>
            </c:numRef>
          </c:val>
        </c:ser>
        <c:ser>
          <c:idx val="2"/>
          <c:order val="2"/>
          <c:tx>
            <c:strRef>
              <c:f>●ｼﾐｭﾚｰｼｮﾝ結果!$F$308</c:f>
              <c:strCache>
                <c:ptCount val="1"/>
                <c:pt idx="0">
                  <c:v>年額費計</c:v>
                </c:pt>
              </c:strCache>
            </c:strRef>
          </c:tx>
          <c:spPr>
            <a:gradFill rotWithShape="0">
              <a:gsLst>
                <a:gs pos="0">
                  <a:srgbClr xmlns:mc="http://schemas.openxmlformats.org/markup-compatibility/2006" xmlns:a14="http://schemas.microsoft.com/office/drawing/2010/main" val="FF00FF" mc:Ignorable="a14" a14:legacySpreadsheetColorIndex="14"/>
                </a:gs>
                <a:gs pos="50000">
                  <a:srgbClr xmlns:mc="http://schemas.openxmlformats.org/markup-compatibility/2006" xmlns:a14="http://schemas.microsoft.com/office/drawing/2010/main" val="FF43FF" mc:Ignorable="a14" a14:legacySpreadsheetColorIndex="14">
                    <a:gamma/>
                    <a:tint val="73725"/>
                    <a:invGamma/>
                  </a:srgbClr>
                </a:gs>
                <a:gs pos="100000">
                  <a:srgbClr xmlns:mc="http://schemas.openxmlformats.org/markup-compatibility/2006" xmlns:a14="http://schemas.microsoft.com/office/drawing/2010/main" val="FF00FF" mc:Ignorable="a14" a14:legacySpreadsheetColorIndex="14"/>
                </a:gs>
              </a:gsLst>
              <a:lin ang="0" scaled="1"/>
            </a:gradFill>
            <a:ln w="12700">
              <a:solidFill>
                <a:srgbClr val="969696"/>
              </a:solidFill>
              <a:prstDash val="solid"/>
            </a:ln>
          </c:spPr>
          <c:invertIfNegative val="0"/>
          <c:cat>
            <c:strRef>
              <c:f>●ｼﾐｭﾚｰｼｮﾝ結果!$G$305:$Q$305</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●ｼﾐｭﾚｰｼｮﾝ結果!$G$308:$Q$308</c:f>
              <c:numCache>
                <c:formatCode>#,##0_ ;[Red]\-#,##0\ </c:formatCode>
                <c:ptCount val="11"/>
                <c:pt idx="0">
                  <c:v>0</c:v>
                </c:pt>
                <c:pt idx="1">
                  <c:v>-36000</c:v>
                </c:pt>
                <c:pt idx="2">
                  <c:v>-36000</c:v>
                </c:pt>
                <c:pt idx="3">
                  <c:v>-36000</c:v>
                </c:pt>
                <c:pt idx="4">
                  <c:v>-36000</c:v>
                </c:pt>
                <c:pt idx="5">
                  <c:v>-36000</c:v>
                </c:pt>
                <c:pt idx="6">
                  <c:v>-36000</c:v>
                </c:pt>
                <c:pt idx="7">
                  <c:v>-36000</c:v>
                </c:pt>
                <c:pt idx="8">
                  <c:v>-72000</c:v>
                </c:pt>
                <c:pt idx="9">
                  <c:v>-72000</c:v>
                </c:pt>
                <c:pt idx="10">
                  <c:v>-72000</c:v>
                </c:pt>
              </c:numCache>
            </c:numRef>
          </c:val>
        </c:ser>
        <c:ser>
          <c:idx val="1"/>
          <c:order val="3"/>
          <c:tx>
            <c:strRef>
              <c:f>●ｼﾐｭﾚｰｼｮﾝ結果!$F$307</c:f>
              <c:strCache>
                <c:ptCount val="1"/>
                <c:pt idx="0">
                  <c:v>教育運用支援</c:v>
                </c:pt>
              </c:strCache>
            </c:strRef>
          </c:tx>
          <c:spPr>
            <a:gradFill rotWithShape="0">
              <a:gsLst>
                <a:gs pos="0">
                  <a:srgbClr xmlns:mc="http://schemas.openxmlformats.org/markup-compatibility/2006" xmlns:a14="http://schemas.microsoft.com/office/drawing/2010/main" val="800000" mc:Ignorable="a14" a14:legacySpreadsheetColorIndex="16"/>
                </a:gs>
                <a:gs pos="50000">
                  <a:srgbClr xmlns:mc="http://schemas.openxmlformats.org/markup-compatibility/2006" xmlns:a14="http://schemas.microsoft.com/office/drawing/2010/main" val="A14343" mc:Ignorable="a14" a14:legacySpreadsheetColorIndex="16">
                    <a:gamma/>
                    <a:tint val="73725"/>
                    <a:invGamma/>
                  </a:srgbClr>
                </a:gs>
                <a:gs pos="100000">
                  <a:srgbClr xmlns:mc="http://schemas.openxmlformats.org/markup-compatibility/2006" xmlns:a14="http://schemas.microsoft.com/office/drawing/2010/main" val="800000" mc:Ignorable="a14" a14:legacySpreadsheetColorIndex="16"/>
                </a:gs>
              </a:gsLst>
              <a:lin ang="0" scaled="1"/>
            </a:gradFill>
            <a:ln w="12700">
              <a:solidFill>
                <a:srgbClr val="969696"/>
              </a:solidFill>
              <a:prstDash val="solid"/>
            </a:ln>
          </c:spPr>
          <c:invertIfNegative val="0"/>
          <c:cat>
            <c:strRef>
              <c:f>●ｼﾐｭﾚｰｼｮﾝ結果!$G$305:$Q$305</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●ｼﾐｭﾚｰｼｮﾝ結果!$G$307:$Q$307</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0"/>
          <c:order val="4"/>
          <c:tx>
            <c:strRef>
              <c:f>●ｼﾐｭﾚｰｼｮﾝ結果!$F$306</c:f>
              <c:strCache>
                <c:ptCount val="1"/>
                <c:pt idx="0">
                  <c:v>削減効果</c:v>
                </c:pt>
              </c:strCache>
            </c:strRef>
          </c:tx>
          <c:spPr>
            <a:gradFill rotWithShape="0">
              <a:gsLst>
                <a:gs pos="0">
                  <a:srgbClr xmlns:mc="http://schemas.openxmlformats.org/markup-compatibility/2006" xmlns:a14="http://schemas.microsoft.com/office/drawing/2010/main" val="99CCFF" mc:Ignorable="a14" a14:legacySpreadsheetColorIndex="44"/>
                </a:gs>
                <a:gs pos="50000">
                  <a:srgbClr xmlns:mc="http://schemas.openxmlformats.org/markup-compatibility/2006" xmlns:a14="http://schemas.microsoft.com/office/drawing/2010/main" val="D6EBFF" mc:Ignorable="a14" a14:legacySpreadsheetColorIndex="44">
                    <a:gamma/>
                    <a:tint val="40000"/>
                    <a:invGamma/>
                  </a:srgbClr>
                </a:gs>
                <a:gs pos="100000">
                  <a:srgbClr xmlns:mc="http://schemas.openxmlformats.org/markup-compatibility/2006" xmlns:a14="http://schemas.microsoft.com/office/drawing/2010/main" val="99CCFF" mc:Ignorable="a14" a14:legacySpreadsheetColorIndex="44"/>
                </a:gs>
              </a:gsLst>
              <a:lin ang="0" scaled="1"/>
            </a:gradFill>
            <a:ln w="3175">
              <a:solidFill>
                <a:srgbClr val="969696"/>
              </a:solidFill>
              <a:prstDash val="solid"/>
            </a:ln>
          </c:spPr>
          <c:invertIfNegative val="0"/>
          <c:cat>
            <c:strRef>
              <c:f>●ｼﾐｭﾚｰｼｮﾝ結果!$G$305:$Q$305</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●ｼﾐｭﾚｰｼｮﾝ結果!$G$306:$Q$306</c:f>
              <c:numCache>
                <c:formatCode>#,##0_ ;[Red]\-#,##0\ </c:formatCode>
                <c:ptCount val="11"/>
                <c:pt idx="0">
                  <c:v>0</c:v>
                </c:pt>
                <c:pt idx="1">
                  <c:v>0</c:v>
                </c:pt>
                <c:pt idx="2">
                  <c:v>695361.00000000093</c:v>
                </c:pt>
                <c:pt idx="3">
                  <c:v>897240</c:v>
                </c:pt>
                <c:pt idx="4">
                  <c:v>1121550</c:v>
                </c:pt>
                <c:pt idx="5">
                  <c:v>1345860</c:v>
                </c:pt>
                <c:pt idx="6">
                  <c:v>1345860</c:v>
                </c:pt>
                <c:pt idx="7">
                  <c:v>1345860</c:v>
                </c:pt>
                <c:pt idx="8">
                  <c:v>1345860</c:v>
                </c:pt>
                <c:pt idx="9">
                  <c:v>1345860</c:v>
                </c:pt>
                <c:pt idx="10">
                  <c:v>1345860</c:v>
                </c:pt>
              </c:numCache>
            </c:numRef>
          </c:val>
        </c:ser>
        <c:dLbls>
          <c:showLegendKey val="0"/>
          <c:showVal val="0"/>
          <c:showCatName val="0"/>
          <c:showSerName val="0"/>
          <c:showPercent val="0"/>
          <c:showBubbleSize val="0"/>
        </c:dLbls>
        <c:gapWidth val="80"/>
        <c:overlap val="100"/>
        <c:axId val="158760960"/>
        <c:axId val="158762880"/>
      </c:barChart>
      <c:lineChart>
        <c:grouping val="standard"/>
        <c:varyColors val="0"/>
        <c:ser>
          <c:idx val="5"/>
          <c:order val="5"/>
          <c:tx>
            <c:strRef>
              <c:f>●ｼﾐｭﾚｰｼｮﾝ結果!$F$311</c:f>
              <c:strCache>
                <c:ptCount val="1"/>
                <c:pt idx="0">
                  <c:v>差額</c:v>
                </c:pt>
              </c:strCache>
            </c:strRef>
          </c:tx>
          <c:cat>
            <c:strRef>
              <c:f>●ｼﾐｭﾚｰｼｮﾝ結果!$G$305:$Q$305</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●ｼﾐｭﾚｰｼｮﾝ結果!$G$311:$Q$311</c:f>
            </c:numRef>
          </c:val>
          <c:smooth val="0"/>
        </c:ser>
        <c:ser>
          <c:idx val="6"/>
          <c:order val="6"/>
          <c:tx>
            <c:strRef>
              <c:f>●ｼﾐｭﾚｰｼｮﾝ結果!$F$312</c:f>
              <c:strCache>
                <c:ptCount val="1"/>
                <c:pt idx="0">
                  <c:v>累積効果</c:v>
                </c:pt>
              </c:strCache>
            </c:strRef>
          </c:tx>
          <c:spPr>
            <a:ln w="38100">
              <a:solidFill>
                <a:srgbClr val="008000"/>
              </a:solidFill>
              <a:prstDash val="solid"/>
            </a:ln>
          </c:spPr>
          <c:marker>
            <c:symbol val="circle"/>
            <c:size val="7"/>
            <c:spPr>
              <a:solidFill>
                <a:srgbClr val="008000"/>
              </a:solidFill>
              <a:ln>
                <a:solidFill>
                  <a:srgbClr val="008000"/>
                </a:solidFill>
                <a:prstDash val="solid"/>
              </a:ln>
            </c:spPr>
          </c:marker>
          <c:cat>
            <c:strRef>
              <c:f>●ｼﾐｭﾚｰｼｮﾝ結果!$G$305:$Q$305</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●ｼﾐｭﾚｰｼｮﾝ結果!$G$312:$Q$312</c:f>
              <c:numCache>
                <c:formatCode>#,##0_ ;[Red]\-#,##0\ </c:formatCode>
                <c:ptCount val="11"/>
                <c:pt idx="0">
                  <c:v>0</c:v>
                </c:pt>
                <c:pt idx="1">
                  <c:v>-66000</c:v>
                </c:pt>
                <c:pt idx="2">
                  <c:v>593361.00000000093</c:v>
                </c:pt>
                <c:pt idx="3">
                  <c:v>1454601.0000000009</c:v>
                </c:pt>
                <c:pt idx="4">
                  <c:v>2540151.0000000009</c:v>
                </c:pt>
                <c:pt idx="5">
                  <c:v>3850011.0000000009</c:v>
                </c:pt>
                <c:pt idx="6">
                  <c:v>5159871.0000000009</c:v>
                </c:pt>
                <c:pt idx="7">
                  <c:v>6469731.0000000009</c:v>
                </c:pt>
                <c:pt idx="8">
                  <c:v>7713591.0000000009</c:v>
                </c:pt>
                <c:pt idx="9">
                  <c:v>8987451</c:v>
                </c:pt>
                <c:pt idx="10">
                  <c:v>10261311</c:v>
                </c:pt>
              </c:numCache>
            </c:numRef>
          </c:val>
          <c:smooth val="0"/>
        </c:ser>
        <c:dLbls>
          <c:showLegendKey val="0"/>
          <c:showVal val="0"/>
          <c:showCatName val="0"/>
          <c:showSerName val="0"/>
          <c:showPercent val="0"/>
          <c:showBubbleSize val="0"/>
        </c:dLbls>
        <c:marker val="1"/>
        <c:smooth val="0"/>
        <c:axId val="158760960"/>
        <c:axId val="158762880"/>
      </c:lineChart>
      <c:lineChart>
        <c:grouping val="standard"/>
        <c:varyColors val="0"/>
        <c:ser>
          <c:idx val="7"/>
          <c:order val="7"/>
          <c:tx>
            <c:strRef>
              <c:f>●ｼﾐｭﾚｰｼｮﾝ結果!$F$313</c:f>
              <c:strCache>
                <c:ptCount val="1"/>
                <c:pt idx="0">
                  <c:v>購買電子化率</c:v>
                </c:pt>
              </c:strCache>
            </c:strRef>
          </c:tx>
          <c:spPr>
            <a:ln w="12700">
              <a:solidFill>
                <a:srgbClr val="FF0000"/>
              </a:solidFill>
              <a:prstDash val="sysDash"/>
            </a:ln>
          </c:spPr>
          <c:marker>
            <c:symbol val="circle"/>
            <c:size val="7"/>
            <c:spPr>
              <a:solidFill>
                <a:srgbClr val="FF0000"/>
              </a:solidFill>
              <a:ln>
                <a:solidFill>
                  <a:srgbClr val="FFFFFF"/>
                </a:solidFill>
                <a:prstDash val="solid"/>
              </a:ln>
            </c:spPr>
          </c:marker>
          <c:cat>
            <c:strRef>
              <c:f>●ｼﾐｭﾚｰｼｮﾝ結果!$G$305:$Q$305</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●ｼﾐｭﾚｰｼｮﾝ結果!$G$313:$Q$313</c:f>
              <c:numCache>
                <c:formatCode>0.0%</c:formatCode>
                <c:ptCount val="11"/>
                <c:pt idx="0">
                  <c:v>0</c:v>
                </c:pt>
                <c:pt idx="1">
                  <c:v>0</c:v>
                </c:pt>
                <c:pt idx="2">
                  <c:v>0.31</c:v>
                </c:pt>
                <c:pt idx="3">
                  <c:v>0.4</c:v>
                </c:pt>
                <c:pt idx="4">
                  <c:v>0.5</c:v>
                </c:pt>
                <c:pt idx="5">
                  <c:v>0.6</c:v>
                </c:pt>
                <c:pt idx="6">
                  <c:v>0.6</c:v>
                </c:pt>
                <c:pt idx="7">
                  <c:v>0.6</c:v>
                </c:pt>
                <c:pt idx="8">
                  <c:v>0.6</c:v>
                </c:pt>
                <c:pt idx="9">
                  <c:v>0.6</c:v>
                </c:pt>
                <c:pt idx="10">
                  <c:v>0.6</c:v>
                </c:pt>
              </c:numCache>
            </c:numRef>
          </c:val>
          <c:smooth val="0"/>
        </c:ser>
        <c:ser>
          <c:idx val="8"/>
          <c:order val="8"/>
          <c:tx>
            <c:strRef>
              <c:f>●ｼﾐｭﾚｰｼｮﾝ結果!$F$314</c:f>
              <c:strCache>
                <c:ptCount val="1"/>
                <c:pt idx="0">
                  <c:v>出来高電子化率</c:v>
                </c:pt>
              </c:strCache>
            </c:strRef>
          </c:tx>
          <c:spPr>
            <a:ln w="25400">
              <a:solidFill>
                <a:srgbClr val="0000FF"/>
              </a:solidFill>
              <a:prstDash val="sysDash"/>
            </a:ln>
          </c:spPr>
          <c:marker>
            <c:symbol val="circle"/>
            <c:size val="7"/>
            <c:spPr>
              <a:solidFill>
                <a:srgbClr val="0000FF"/>
              </a:solidFill>
              <a:ln>
                <a:solidFill>
                  <a:srgbClr val="FFFFFF"/>
                </a:solidFill>
                <a:prstDash val="solid"/>
              </a:ln>
            </c:spPr>
          </c:marker>
          <c:cat>
            <c:strRef>
              <c:f>●ｼﾐｭﾚｰｼｮﾝ結果!$G$305:$Q$305</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●ｼﾐｭﾚｰｼｮﾝ結果!$G$314:$Q$314</c:f>
              <c:numCache>
                <c:formatCode>0.0%</c:formatCode>
                <c:ptCount val="11"/>
                <c:pt idx="0">
                  <c:v>0</c:v>
                </c:pt>
                <c:pt idx="1">
                  <c:v>0</c:v>
                </c:pt>
                <c:pt idx="2">
                  <c:v>0</c:v>
                </c:pt>
                <c:pt idx="3">
                  <c:v>0</c:v>
                </c:pt>
                <c:pt idx="4">
                  <c:v>0</c:v>
                </c:pt>
                <c:pt idx="5">
                  <c:v>0</c:v>
                </c:pt>
                <c:pt idx="6">
                  <c:v>0</c:v>
                </c:pt>
                <c:pt idx="7">
                  <c:v>0</c:v>
                </c:pt>
                <c:pt idx="8">
                  <c:v>0</c:v>
                </c:pt>
                <c:pt idx="9">
                  <c:v>0</c:v>
                </c:pt>
                <c:pt idx="10">
                  <c:v>0</c:v>
                </c:pt>
              </c:numCache>
            </c:numRef>
          </c:val>
          <c:smooth val="0"/>
        </c:ser>
        <c:dLbls>
          <c:showLegendKey val="0"/>
          <c:showVal val="0"/>
          <c:showCatName val="0"/>
          <c:showSerName val="0"/>
          <c:showPercent val="0"/>
          <c:showBubbleSize val="0"/>
        </c:dLbls>
        <c:marker val="1"/>
        <c:smooth val="0"/>
        <c:axId val="158773248"/>
        <c:axId val="158774784"/>
      </c:lineChart>
      <c:catAx>
        <c:axId val="158760960"/>
        <c:scaling>
          <c:orientation val="minMax"/>
        </c:scaling>
        <c:delete val="0"/>
        <c:axPos val="b"/>
        <c:numFmt formatCode="General" sourceLinked="1"/>
        <c:majorTickMark val="in"/>
        <c:minorTickMark val="none"/>
        <c:tickLblPos val="low"/>
        <c:spPr>
          <a:ln w="3175">
            <a:solidFill>
              <a:srgbClr val="808080"/>
            </a:solidFill>
            <a:prstDash val="solid"/>
          </a:ln>
        </c:spPr>
        <c:txPr>
          <a:bodyPr rot="0" vert="horz"/>
          <a:lstStyle/>
          <a:p>
            <a:pPr>
              <a:defRPr sz="1825" b="0" i="0" u="none" strike="noStrike" baseline="0">
                <a:solidFill>
                  <a:srgbClr val="000000"/>
                </a:solidFill>
                <a:latin typeface="ＭＳ Ｐゴシック"/>
                <a:ea typeface="ＭＳ Ｐゴシック"/>
                <a:cs typeface="ＭＳ Ｐゴシック"/>
              </a:defRPr>
            </a:pPr>
            <a:endParaRPr lang="ja-JP"/>
          </a:p>
        </c:txPr>
        <c:crossAx val="158762880"/>
        <c:crosses val="autoZero"/>
        <c:auto val="1"/>
        <c:lblAlgn val="ctr"/>
        <c:lblOffset val="100"/>
        <c:tickLblSkip val="1"/>
        <c:tickMarkSkip val="1"/>
        <c:noMultiLvlLbl val="0"/>
      </c:catAx>
      <c:valAx>
        <c:axId val="158762880"/>
        <c:scaling>
          <c:orientation val="minMax"/>
        </c:scaling>
        <c:delete val="0"/>
        <c:axPos val="l"/>
        <c:majorGridlines>
          <c:spPr>
            <a:ln w="3175">
              <a:solidFill>
                <a:srgbClr val="808080"/>
              </a:solidFill>
              <a:prstDash val="solid"/>
            </a:ln>
          </c:spPr>
        </c:majorGridlines>
        <c:numFmt formatCode="#,##0_ ;[Red]\-#,##0\ " sourceLinked="1"/>
        <c:majorTickMark val="in"/>
        <c:minorTickMark val="none"/>
        <c:tickLblPos val="nextTo"/>
        <c:spPr>
          <a:ln w="3175">
            <a:solidFill>
              <a:srgbClr val="000000"/>
            </a:solidFill>
            <a:prstDash val="solid"/>
          </a:ln>
        </c:spPr>
        <c:txPr>
          <a:bodyPr rot="0" vert="horz"/>
          <a:lstStyle/>
          <a:p>
            <a:pPr>
              <a:defRPr sz="1825" b="0" i="0" u="none" strike="noStrike" baseline="0">
                <a:solidFill>
                  <a:srgbClr val="000000"/>
                </a:solidFill>
                <a:latin typeface="ＭＳ Ｐゴシック"/>
                <a:ea typeface="ＭＳ Ｐゴシック"/>
                <a:cs typeface="ＭＳ Ｐゴシック"/>
              </a:defRPr>
            </a:pPr>
            <a:endParaRPr lang="ja-JP"/>
          </a:p>
        </c:txPr>
        <c:crossAx val="158760960"/>
        <c:crosses val="autoZero"/>
        <c:crossBetween val="between"/>
        <c:dispUnits>
          <c:builtInUnit val="tenThousands"/>
          <c:dispUnitsLbl>
            <c:layout>
              <c:manualLayout>
                <c:xMode val="edge"/>
                <c:yMode val="edge"/>
                <c:x val="0.10529722404994855"/>
                <c:y val="0.4661402117466425"/>
              </c:manualLayout>
            </c:layout>
            <c:spPr>
              <a:noFill/>
              <a:ln w="25400">
                <a:noFill/>
              </a:ln>
            </c:spPr>
            <c:txPr>
              <a:bodyPr rot="0" vert="wordArtVertRtl"/>
              <a:lstStyle/>
              <a:p>
                <a:pPr algn="ctr">
                  <a:defRPr sz="1200" b="1" i="0" u="none" strike="noStrike" baseline="0">
                    <a:solidFill>
                      <a:srgbClr val="000000"/>
                    </a:solidFill>
                    <a:latin typeface="ＭＳ Ｐゴシック"/>
                    <a:ea typeface="ＭＳ Ｐゴシック"/>
                    <a:cs typeface="ＭＳ Ｐゴシック"/>
                  </a:defRPr>
                </a:pPr>
                <a:endParaRPr lang="ja-JP"/>
              </a:p>
            </c:txPr>
          </c:dispUnitsLbl>
        </c:dispUnits>
      </c:valAx>
      <c:catAx>
        <c:axId val="158773248"/>
        <c:scaling>
          <c:orientation val="minMax"/>
        </c:scaling>
        <c:delete val="1"/>
        <c:axPos val="b"/>
        <c:majorTickMark val="out"/>
        <c:minorTickMark val="none"/>
        <c:tickLblPos val="nextTo"/>
        <c:crossAx val="158774784"/>
        <c:crosses val="autoZero"/>
        <c:auto val="1"/>
        <c:lblAlgn val="ctr"/>
        <c:lblOffset val="100"/>
        <c:noMultiLvlLbl val="0"/>
      </c:catAx>
      <c:valAx>
        <c:axId val="158774784"/>
        <c:scaling>
          <c:orientation val="minMax"/>
        </c:scaling>
        <c:delete val="0"/>
        <c:axPos val="r"/>
        <c:numFmt formatCode="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Ｐゴシック"/>
                <a:ea typeface="ＭＳ Ｐゴシック"/>
                <a:cs typeface="ＭＳ Ｐゴシック"/>
              </a:defRPr>
            </a:pPr>
            <a:endParaRPr lang="ja-JP"/>
          </a:p>
        </c:txPr>
        <c:crossAx val="158773248"/>
        <c:crosses val="max"/>
        <c:crossBetween val="between"/>
      </c:valAx>
      <c:spPr>
        <a:gradFill rotWithShape="0">
          <a:gsLst>
            <a:gs pos="0">
              <a:srgbClr xmlns:mc="http://schemas.openxmlformats.org/markup-compatibility/2006" xmlns:a14="http://schemas.microsoft.com/office/drawing/2010/main" val="C0C0C0" mc:Ignorable="a14" a14:legacySpreadsheetColorIndex="22"/>
            </a:gs>
            <a:gs pos="50000">
              <a:srgbClr xmlns:mc="http://schemas.openxmlformats.org/markup-compatibility/2006" xmlns:a14="http://schemas.microsoft.com/office/drawing/2010/main" val="ECECEC" mc:Ignorable="a14" a14:legacySpreadsheetColorIndex="22">
                <a:gamma/>
                <a:tint val="30196"/>
                <a:invGamma/>
              </a:srgbClr>
            </a:gs>
            <a:gs pos="100000">
              <a:srgbClr xmlns:mc="http://schemas.openxmlformats.org/markup-compatibility/2006" xmlns:a14="http://schemas.microsoft.com/office/drawing/2010/main" val="C0C0C0" mc:Ignorable="a14" a14:legacySpreadsheetColorIndex="22"/>
            </a:gs>
          </a:gsLst>
          <a:lin ang="2700000" scaled="1"/>
        </a:gradFill>
        <a:ln w="12700">
          <a:solidFill>
            <a:srgbClr val="808080"/>
          </a:solidFill>
          <a:prstDash val="solid"/>
        </a:ln>
      </c:spPr>
    </c:plotArea>
    <c:legend>
      <c:legendPos val="l"/>
      <c:layout>
        <c:manualLayout>
          <c:xMode val="edge"/>
          <c:yMode val="edge"/>
          <c:wMode val="edge"/>
          <c:hMode val="edge"/>
          <c:x val="3.2299741602067182E-3"/>
          <c:y val="5.6433408577878106E-3"/>
          <c:w val="0.11886311691658698"/>
          <c:h val="0.20541772571882239"/>
        </c:manualLayout>
      </c:layout>
      <c:overlay val="0"/>
      <c:spPr>
        <a:solidFill>
          <a:srgbClr val="FFFFFF"/>
        </a:solidFill>
        <a:ln w="3175">
          <a:solidFill>
            <a:srgbClr val="000000"/>
          </a:solidFill>
          <a:prstDash val="solid"/>
        </a:ln>
      </c:spPr>
      <c:txPr>
        <a:bodyPr/>
        <a:lstStyle/>
        <a:p>
          <a:pPr>
            <a:defRPr sz="1100" b="0" i="0" u="none" strike="noStrike" baseline="0">
              <a:solidFill>
                <a:srgbClr val="000000"/>
              </a:solidFill>
              <a:latin typeface="ＭＳ Ｐゴシック"/>
              <a:ea typeface="ＭＳ Ｐゴシック"/>
              <a:cs typeface="ＭＳ Ｐゴシック"/>
            </a:defRPr>
          </a:pPr>
          <a:endParaRPr lang="ja-JP"/>
        </a:p>
      </c:txPr>
    </c:legend>
    <c:plotVisOnly val="1"/>
    <c:dispBlanksAs val="gap"/>
    <c:showDLblsOverMax val="0"/>
  </c:chart>
  <c:spPr>
    <a:solidFill>
      <a:srgbClr val="FFFFFF"/>
    </a:solidFill>
    <a:ln w="3175">
      <a:solidFill>
        <a:srgbClr val="000000"/>
      </a:solidFill>
      <a:prstDash val="solid"/>
    </a:ln>
  </c:spPr>
  <c:txPr>
    <a:bodyPr/>
    <a:lstStyle/>
    <a:p>
      <a:pPr>
        <a:defRPr sz="19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7030848329048842"/>
          <c:y val="2.463605823068309E-2"/>
          <c:w val="0.74228791773778924"/>
          <c:h val="0.89697648376259798"/>
        </c:manualLayout>
      </c:layout>
      <c:barChart>
        <c:barDir val="col"/>
        <c:grouping val="stacked"/>
        <c:varyColors val="0"/>
        <c:ser>
          <c:idx val="4"/>
          <c:order val="0"/>
          <c:tx>
            <c:strRef>
              <c:f>●ｼﾐｭﾚｰｼｮﾝ結果!$F$395</c:f>
              <c:strCache>
                <c:ptCount val="1"/>
                <c:pt idx="0">
                  <c:v>ﾊｰﾄﾞｳｪｱ等</c:v>
                </c:pt>
              </c:strCache>
            </c:strRef>
          </c:tx>
          <c:spPr>
            <a:gradFill rotWithShape="0">
              <a:gsLst>
                <a:gs pos="0">
                  <a:srgbClr xmlns:mc="http://schemas.openxmlformats.org/markup-compatibility/2006" xmlns:a14="http://schemas.microsoft.com/office/drawing/2010/main" val="FFCC00" mc:Ignorable="a14" a14:legacySpreadsheetColorIndex="51"/>
                </a:gs>
                <a:gs pos="50000">
                  <a:srgbClr xmlns:mc="http://schemas.openxmlformats.org/markup-compatibility/2006" xmlns:a14="http://schemas.microsoft.com/office/drawing/2010/main" val="FFD943" mc:Ignorable="a14" a14:legacySpreadsheetColorIndex="51">
                    <a:gamma/>
                    <a:tint val="73725"/>
                    <a:invGamma/>
                  </a:srgbClr>
                </a:gs>
                <a:gs pos="100000">
                  <a:srgbClr xmlns:mc="http://schemas.openxmlformats.org/markup-compatibility/2006" xmlns:a14="http://schemas.microsoft.com/office/drawing/2010/main" val="FFCC00" mc:Ignorable="a14" a14:legacySpreadsheetColorIndex="51"/>
                </a:gs>
              </a:gsLst>
              <a:lin ang="0" scaled="1"/>
            </a:gradFill>
            <a:ln w="12700">
              <a:solidFill>
                <a:srgbClr val="969696"/>
              </a:solidFill>
              <a:prstDash val="solid"/>
            </a:ln>
          </c:spPr>
          <c:invertIfNegative val="0"/>
          <c:cat>
            <c:strRef>
              <c:f>●ｼﾐｭﾚｰｼｮﾝ結果!$G$390:$Q$390</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●ｼﾐｭﾚｰｼｮﾝ結果!$G$395:$Q$395</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3"/>
          <c:order val="1"/>
          <c:tx>
            <c:strRef>
              <c:f>●ｼﾐｭﾚｰｼｮﾝ結果!$F$394</c:f>
              <c:strCache>
                <c:ptCount val="1"/>
                <c:pt idx="0">
                  <c:v>初期導入費</c:v>
                </c:pt>
              </c:strCache>
            </c:strRef>
          </c:tx>
          <c:spPr>
            <a:gradFill rotWithShape="0">
              <a:gsLst>
                <a:gs pos="0">
                  <a:srgbClr xmlns:mc="http://schemas.openxmlformats.org/markup-compatibility/2006" xmlns:a14="http://schemas.microsoft.com/office/drawing/2010/main" val="FF99CC" mc:Ignorable="a14" a14:legacySpreadsheetColorIndex="45"/>
                </a:gs>
                <a:gs pos="50000">
                  <a:srgbClr xmlns:mc="http://schemas.openxmlformats.org/markup-compatibility/2006" xmlns:a14="http://schemas.microsoft.com/office/drawing/2010/main" val="FFB4D9" mc:Ignorable="a14" a14:legacySpreadsheetColorIndex="45">
                    <a:gamma/>
                    <a:tint val="73725"/>
                    <a:invGamma/>
                  </a:srgbClr>
                </a:gs>
                <a:gs pos="100000">
                  <a:srgbClr xmlns:mc="http://schemas.openxmlformats.org/markup-compatibility/2006" xmlns:a14="http://schemas.microsoft.com/office/drawing/2010/main" val="FF99CC" mc:Ignorable="a14" a14:legacySpreadsheetColorIndex="45"/>
                </a:gs>
              </a:gsLst>
              <a:lin ang="0" scaled="1"/>
            </a:gradFill>
            <a:ln w="12700">
              <a:solidFill>
                <a:srgbClr val="969696"/>
              </a:solidFill>
              <a:prstDash val="solid"/>
            </a:ln>
          </c:spPr>
          <c:invertIfNegative val="0"/>
          <c:cat>
            <c:strRef>
              <c:f>●ｼﾐｭﾚｰｼｮﾝ結果!$G$390:$Q$390</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●ｼﾐｭﾚｰｼｮﾝ結果!$G$394:$Q$394</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2"/>
          <c:order val="2"/>
          <c:tx>
            <c:strRef>
              <c:f>●ｼﾐｭﾚｰｼｮﾝ結果!$F$393</c:f>
              <c:strCache>
                <c:ptCount val="1"/>
                <c:pt idx="0">
                  <c:v>年額費計</c:v>
                </c:pt>
              </c:strCache>
            </c:strRef>
          </c:tx>
          <c:spPr>
            <a:gradFill rotWithShape="0">
              <a:gsLst>
                <a:gs pos="0">
                  <a:srgbClr xmlns:mc="http://schemas.openxmlformats.org/markup-compatibility/2006" xmlns:a14="http://schemas.microsoft.com/office/drawing/2010/main" val="FF00FF" mc:Ignorable="a14" a14:legacySpreadsheetColorIndex="14"/>
                </a:gs>
                <a:gs pos="50000">
                  <a:srgbClr xmlns:mc="http://schemas.openxmlformats.org/markup-compatibility/2006" xmlns:a14="http://schemas.microsoft.com/office/drawing/2010/main" val="FF43FF" mc:Ignorable="a14" a14:legacySpreadsheetColorIndex="14">
                    <a:gamma/>
                    <a:tint val="73725"/>
                    <a:invGamma/>
                  </a:srgbClr>
                </a:gs>
                <a:gs pos="100000">
                  <a:srgbClr xmlns:mc="http://schemas.openxmlformats.org/markup-compatibility/2006" xmlns:a14="http://schemas.microsoft.com/office/drawing/2010/main" val="FF00FF" mc:Ignorable="a14" a14:legacySpreadsheetColorIndex="14"/>
                </a:gs>
              </a:gsLst>
              <a:lin ang="0" scaled="1"/>
            </a:gradFill>
            <a:ln w="12700">
              <a:solidFill>
                <a:srgbClr val="969696"/>
              </a:solidFill>
              <a:prstDash val="solid"/>
            </a:ln>
          </c:spPr>
          <c:invertIfNegative val="0"/>
          <c:cat>
            <c:strRef>
              <c:f>●ｼﾐｭﾚｰｼｮﾝ結果!$G$390:$Q$390</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●ｼﾐｭﾚｰｼｮﾝ結果!$G$393:$Q$393</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1"/>
          <c:order val="3"/>
          <c:tx>
            <c:strRef>
              <c:f>●ｼﾐｭﾚｰｼｮﾝ結果!$F$392</c:f>
              <c:strCache>
                <c:ptCount val="1"/>
                <c:pt idx="0">
                  <c:v>教育運用支援</c:v>
                </c:pt>
              </c:strCache>
            </c:strRef>
          </c:tx>
          <c:spPr>
            <a:gradFill rotWithShape="0">
              <a:gsLst>
                <a:gs pos="0">
                  <a:srgbClr xmlns:mc="http://schemas.openxmlformats.org/markup-compatibility/2006" xmlns:a14="http://schemas.microsoft.com/office/drawing/2010/main" val="800000" mc:Ignorable="a14" a14:legacySpreadsheetColorIndex="16"/>
                </a:gs>
                <a:gs pos="50000">
                  <a:srgbClr xmlns:mc="http://schemas.openxmlformats.org/markup-compatibility/2006" xmlns:a14="http://schemas.microsoft.com/office/drawing/2010/main" val="A14343" mc:Ignorable="a14" a14:legacySpreadsheetColorIndex="16">
                    <a:gamma/>
                    <a:tint val="73725"/>
                    <a:invGamma/>
                  </a:srgbClr>
                </a:gs>
                <a:gs pos="100000">
                  <a:srgbClr xmlns:mc="http://schemas.openxmlformats.org/markup-compatibility/2006" xmlns:a14="http://schemas.microsoft.com/office/drawing/2010/main" val="800000" mc:Ignorable="a14" a14:legacySpreadsheetColorIndex="16"/>
                </a:gs>
              </a:gsLst>
              <a:lin ang="0" scaled="1"/>
            </a:gradFill>
            <a:ln w="12700">
              <a:solidFill>
                <a:srgbClr val="969696"/>
              </a:solidFill>
              <a:prstDash val="solid"/>
            </a:ln>
          </c:spPr>
          <c:invertIfNegative val="0"/>
          <c:cat>
            <c:strRef>
              <c:f>●ｼﾐｭﾚｰｼｮﾝ結果!$G$390:$Q$390</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●ｼﾐｭﾚｰｼｮﾝ結果!$G$392:$Q$392</c:f>
              <c:numCache>
                <c:formatCode>#,##0_ ;[Red]\-#,##0\ </c:formatCode>
                <c:ptCount val="11"/>
                <c:pt idx="0">
                  <c:v>0</c:v>
                </c:pt>
                <c:pt idx="1">
                  <c:v>0</c:v>
                </c:pt>
                <c:pt idx="2">
                  <c:v>0</c:v>
                </c:pt>
                <c:pt idx="3">
                  <c:v>0</c:v>
                </c:pt>
                <c:pt idx="4">
                  <c:v>0</c:v>
                </c:pt>
                <c:pt idx="5">
                  <c:v>0</c:v>
                </c:pt>
                <c:pt idx="6">
                  <c:v>0</c:v>
                </c:pt>
                <c:pt idx="7">
                  <c:v>0</c:v>
                </c:pt>
                <c:pt idx="8">
                  <c:v>0</c:v>
                </c:pt>
                <c:pt idx="9">
                  <c:v>0</c:v>
                </c:pt>
                <c:pt idx="10">
                  <c:v>0</c:v>
                </c:pt>
              </c:numCache>
            </c:numRef>
          </c:val>
        </c:ser>
        <c:ser>
          <c:idx val="0"/>
          <c:order val="4"/>
          <c:tx>
            <c:strRef>
              <c:f>●ｼﾐｭﾚｰｼｮﾝ結果!$F$391</c:f>
              <c:strCache>
                <c:ptCount val="1"/>
                <c:pt idx="0">
                  <c:v>削減効果</c:v>
                </c:pt>
              </c:strCache>
            </c:strRef>
          </c:tx>
          <c:spPr>
            <a:gradFill rotWithShape="0">
              <a:gsLst>
                <a:gs pos="0">
                  <a:srgbClr xmlns:mc="http://schemas.openxmlformats.org/markup-compatibility/2006" xmlns:a14="http://schemas.microsoft.com/office/drawing/2010/main" val="99CCFF" mc:Ignorable="a14" a14:legacySpreadsheetColorIndex="44"/>
                </a:gs>
                <a:gs pos="50000">
                  <a:srgbClr xmlns:mc="http://schemas.openxmlformats.org/markup-compatibility/2006" xmlns:a14="http://schemas.microsoft.com/office/drawing/2010/main" val="D6EBFF" mc:Ignorable="a14" a14:legacySpreadsheetColorIndex="44">
                    <a:gamma/>
                    <a:tint val="40000"/>
                    <a:invGamma/>
                  </a:srgbClr>
                </a:gs>
                <a:gs pos="100000">
                  <a:srgbClr xmlns:mc="http://schemas.openxmlformats.org/markup-compatibility/2006" xmlns:a14="http://schemas.microsoft.com/office/drawing/2010/main" val="99CCFF" mc:Ignorable="a14" a14:legacySpreadsheetColorIndex="44"/>
                </a:gs>
              </a:gsLst>
              <a:lin ang="0" scaled="1"/>
            </a:gradFill>
            <a:ln w="3175">
              <a:solidFill>
                <a:srgbClr val="969696"/>
              </a:solidFill>
              <a:prstDash val="solid"/>
            </a:ln>
          </c:spPr>
          <c:invertIfNegative val="0"/>
          <c:cat>
            <c:strRef>
              <c:f>●ｼﾐｭﾚｰｼｮﾝ結果!$G$390:$Q$390</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●ｼﾐｭﾚｰｼｮﾝ結果!$G$391:$Q$391</c:f>
              <c:numCache>
                <c:formatCode>#,##0_ ;[Red]\-#,##0\ </c:formatCode>
                <c:ptCount val="11"/>
                <c:pt idx="0">
                  <c:v>0</c:v>
                </c:pt>
                <c:pt idx="1">
                  <c:v>0</c:v>
                </c:pt>
                <c:pt idx="2">
                  <c:v>695361.00000000093</c:v>
                </c:pt>
                <c:pt idx="3">
                  <c:v>897240</c:v>
                </c:pt>
                <c:pt idx="4">
                  <c:v>1121550</c:v>
                </c:pt>
                <c:pt idx="5">
                  <c:v>1345860</c:v>
                </c:pt>
                <c:pt idx="6">
                  <c:v>1345860</c:v>
                </c:pt>
                <c:pt idx="7">
                  <c:v>1345860</c:v>
                </c:pt>
                <c:pt idx="8">
                  <c:v>1345860</c:v>
                </c:pt>
                <c:pt idx="9">
                  <c:v>1345860</c:v>
                </c:pt>
                <c:pt idx="10">
                  <c:v>1345860</c:v>
                </c:pt>
              </c:numCache>
            </c:numRef>
          </c:val>
        </c:ser>
        <c:dLbls>
          <c:showLegendKey val="0"/>
          <c:showVal val="0"/>
          <c:showCatName val="0"/>
          <c:showSerName val="0"/>
          <c:showPercent val="0"/>
          <c:showBubbleSize val="0"/>
        </c:dLbls>
        <c:gapWidth val="80"/>
        <c:overlap val="100"/>
        <c:axId val="162477568"/>
        <c:axId val="162479488"/>
      </c:barChart>
      <c:lineChart>
        <c:grouping val="standard"/>
        <c:varyColors val="0"/>
        <c:ser>
          <c:idx val="5"/>
          <c:order val="5"/>
          <c:tx>
            <c:strRef>
              <c:f>●ｼﾐｭﾚｰｼｮﾝ結果!$F$396</c:f>
              <c:strCache>
                <c:ptCount val="1"/>
                <c:pt idx="0">
                  <c:v>差額</c:v>
                </c:pt>
              </c:strCache>
            </c:strRef>
          </c:tx>
          <c:cat>
            <c:strRef>
              <c:f>●ｼﾐｭﾚｰｼｮﾝ結果!$G$390:$Q$390</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●ｼﾐｭﾚｰｼｮﾝ結果!$G$396:$Q$396</c:f>
            </c:numRef>
          </c:val>
          <c:smooth val="0"/>
        </c:ser>
        <c:ser>
          <c:idx val="6"/>
          <c:order val="6"/>
          <c:tx>
            <c:strRef>
              <c:f>●ｼﾐｭﾚｰｼｮﾝ結果!$F$397</c:f>
              <c:strCache>
                <c:ptCount val="1"/>
                <c:pt idx="0">
                  <c:v>累積効果</c:v>
                </c:pt>
              </c:strCache>
            </c:strRef>
          </c:tx>
          <c:spPr>
            <a:ln w="38100">
              <a:solidFill>
                <a:srgbClr val="008000"/>
              </a:solidFill>
              <a:prstDash val="solid"/>
            </a:ln>
          </c:spPr>
          <c:marker>
            <c:symbol val="circle"/>
            <c:size val="7"/>
            <c:spPr>
              <a:solidFill>
                <a:srgbClr val="008000"/>
              </a:solidFill>
              <a:ln>
                <a:solidFill>
                  <a:srgbClr val="008000"/>
                </a:solidFill>
                <a:prstDash val="solid"/>
              </a:ln>
            </c:spPr>
          </c:marker>
          <c:cat>
            <c:strRef>
              <c:f>●ｼﾐｭﾚｰｼｮﾝ結果!$G$390:$Q$390</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●ｼﾐｭﾚｰｼｮﾝ結果!$G$397:$Q$397</c:f>
              <c:numCache>
                <c:formatCode>#,##0_ ;[Red]\-#,##0\ </c:formatCode>
                <c:ptCount val="11"/>
                <c:pt idx="0">
                  <c:v>0</c:v>
                </c:pt>
                <c:pt idx="1">
                  <c:v>0</c:v>
                </c:pt>
                <c:pt idx="2">
                  <c:v>695361.00000000093</c:v>
                </c:pt>
                <c:pt idx="3">
                  <c:v>1592601.0000000009</c:v>
                </c:pt>
                <c:pt idx="4">
                  <c:v>2714151.0000000009</c:v>
                </c:pt>
                <c:pt idx="5">
                  <c:v>4060011.0000000009</c:v>
                </c:pt>
                <c:pt idx="6">
                  <c:v>5405871.0000000009</c:v>
                </c:pt>
                <c:pt idx="7">
                  <c:v>6751731.0000000009</c:v>
                </c:pt>
                <c:pt idx="8">
                  <c:v>8097591.0000000009</c:v>
                </c:pt>
                <c:pt idx="9">
                  <c:v>9443451</c:v>
                </c:pt>
                <c:pt idx="10">
                  <c:v>10789311</c:v>
                </c:pt>
              </c:numCache>
            </c:numRef>
          </c:val>
          <c:smooth val="0"/>
        </c:ser>
        <c:dLbls>
          <c:showLegendKey val="0"/>
          <c:showVal val="0"/>
          <c:showCatName val="0"/>
          <c:showSerName val="0"/>
          <c:showPercent val="0"/>
          <c:showBubbleSize val="0"/>
        </c:dLbls>
        <c:marker val="1"/>
        <c:smooth val="0"/>
        <c:axId val="162477568"/>
        <c:axId val="162479488"/>
      </c:lineChart>
      <c:lineChart>
        <c:grouping val="standard"/>
        <c:varyColors val="0"/>
        <c:ser>
          <c:idx val="7"/>
          <c:order val="7"/>
          <c:tx>
            <c:strRef>
              <c:f>●ｼﾐｭﾚｰｼｮﾝ結果!$F$398</c:f>
              <c:strCache>
                <c:ptCount val="1"/>
                <c:pt idx="0">
                  <c:v>購買電子化率</c:v>
                </c:pt>
              </c:strCache>
            </c:strRef>
          </c:tx>
          <c:spPr>
            <a:ln w="12700">
              <a:solidFill>
                <a:srgbClr val="FF0000"/>
              </a:solidFill>
              <a:prstDash val="sysDash"/>
            </a:ln>
          </c:spPr>
          <c:marker>
            <c:symbol val="circle"/>
            <c:size val="7"/>
            <c:spPr>
              <a:solidFill>
                <a:srgbClr val="FF0000"/>
              </a:solidFill>
              <a:ln>
                <a:solidFill>
                  <a:srgbClr val="FFFFFF"/>
                </a:solidFill>
                <a:prstDash val="solid"/>
              </a:ln>
            </c:spPr>
          </c:marker>
          <c:cat>
            <c:strRef>
              <c:f>●ｼﾐｭﾚｰｼｮﾝ結果!$G$390:$Q$390</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●ｼﾐｭﾚｰｼｮﾝ結果!$G$398:$Q$398</c:f>
              <c:numCache>
                <c:formatCode>0.0%</c:formatCode>
                <c:ptCount val="11"/>
                <c:pt idx="0">
                  <c:v>0</c:v>
                </c:pt>
                <c:pt idx="1">
                  <c:v>0</c:v>
                </c:pt>
                <c:pt idx="2">
                  <c:v>0.31</c:v>
                </c:pt>
                <c:pt idx="3">
                  <c:v>0.4</c:v>
                </c:pt>
                <c:pt idx="4">
                  <c:v>0.5</c:v>
                </c:pt>
                <c:pt idx="5">
                  <c:v>0.6</c:v>
                </c:pt>
                <c:pt idx="6">
                  <c:v>0.6</c:v>
                </c:pt>
                <c:pt idx="7">
                  <c:v>0.6</c:v>
                </c:pt>
                <c:pt idx="8">
                  <c:v>0.6</c:v>
                </c:pt>
                <c:pt idx="9">
                  <c:v>0.6</c:v>
                </c:pt>
                <c:pt idx="10">
                  <c:v>0.6</c:v>
                </c:pt>
              </c:numCache>
            </c:numRef>
          </c:val>
          <c:smooth val="0"/>
        </c:ser>
        <c:ser>
          <c:idx val="8"/>
          <c:order val="8"/>
          <c:tx>
            <c:strRef>
              <c:f>●ｼﾐｭﾚｰｼｮﾝ結果!$F$399</c:f>
              <c:strCache>
                <c:ptCount val="1"/>
                <c:pt idx="0">
                  <c:v>出来高電子化率</c:v>
                </c:pt>
              </c:strCache>
            </c:strRef>
          </c:tx>
          <c:spPr>
            <a:ln w="12700">
              <a:solidFill>
                <a:srgbClr val="0000FF"/>
              </a:solidFill>
              <a:prstDash val="sysDash"/>
            </a:ln>
          </c:spPr>
          <c:marker>
            <c:symbol val="circle"/>
            <c:size val="7"/>
            <c:spPr>
              <a:solidFill>
                <a:srgbClr val="0000FF"/>
              </a:solidFill>
              <a:ln>
                <a:solidFill>
                  <a:srgbClr val="FFFFFF"/>
                </a:solidFill>
                <a:prstDash val="solid"/>
              </a:ln>
            </c:spPr>
          </c:marker>
          <c:cat>
            <c:strRef>
              <c:f>●ｼﾐｭﾚｰｼｮﾝ結果!$G$390:$Q$390</c:f>
              <c:strCache>
                <c:ptCount val="11"/>
                <c:pt idx="0">
                  <c:v>導入時</c:v>
                </c:pt>
                <c:pt idx="1">
                  <c:v>1年目</c:v>
                </c:pt>
                <c:pt idx="2">
                  <c:v>2年目</c:v>
                </c:pt>
                <c:pt idx="3">
                  <c:v>3年目</c:v>
                </c:pt>
                <c:pt idx="4">
                  <c:v>4年目</c:v>
                </c:pt>
                <c:pt idx="5">
                  <c:v>5年目</c:v>
                </c:pt>
                <c:pt idx="6">
                  <c:v>6年目</c:v>
                </c:pt>
                <c:pt idx="7">
                  <c:v>7年目</c:v>
                </c:pt>
                <c:pt idx="8">
                  <c:v>8年目</c:v>
                </c:pt>
                <c:pt idx="9">
                  <c:v>9年目</c:v>
                </c:pt>
                <c:pt idx="10">
                  <c:v>10年目</c:v>
                </c:pt>
              </c:strCache>
            </c:strRef>
          </c:cat>
          <c:val>
            <c:numRef>
              <c:f>●ｼﾐｭﾚｰｼｮﾝ結果!$G$399:$Q$399</c:f>
              <c:numCache>
                <c:formatCode>0.0%</c:formatCode>
                <c:ptCount val="11"/>
                <c:pt idx="0">
                  <c:v>0</c:v>
                </c:pt>
                <c:pt idx="1">
                  <c:v>0</c:v>
                </c:pt>
                <c:pt idx="2">
                  <c:v>0</c:v>
                </c:pt>
                <c:pt idx="3">
                  <c:v>0</c:v>
                </c:pt>
                <c:pt idx="4">
                  <c:v>0</c:v>
                </c:pt>
                <c:pt idx="5">
                  <c:v>0</c:v>
                </c:pt>
                <c:pt idx="6">
                  <c:v>0</c:v>
                </c:pt>
                <c:pt idx="7">
                  <c:v>0</c:v>
                </c:pt>
                <c:pt idx="8">
                  <c:v>0</c:v>
                </c:pt>
                <c:pt idx="9">
                  <c:v>0</c:v>
                </c:pt>
                <c:pt idx="10">
                  <c:v>0</c:v>
                </c:pt>
              </c:numCache>
            </c:numRef>
          </c:val>
          <c:smooth val="0"/>
        </c:ser>
        <c:dLbls>
          <c:showLegendKey val="0"/>
          <c:showVal val="0"/>
          <c:showCatName val="0"/>
          <c:showSerName val="0"/>
          <c:showPercent val="0"/>
          <c:showBubbleSize val="0"/>
        </c:dLbls>
        <c:marker val="1"/>
        <c:smooth val="0"/>
        <c:axId val="162489856"/>
        <c:axId val="162491392"/>
      </c:lineChart>
      <c:catAx>
        <c:axId val="162477568"/>
        <c:scaling>
          <c:orientation val="minMax"/>
        </c:scaling>
        <c:delete val="0"/>
        <c:axPos val="b"/>
        <c:numFmt formatCode="General" sourceLinked="1"/>
        <c:majorTickMark val="in"/>
        <c:minorTickMark val="none"/>
        <c:tickLblPos val="low"/>
        <c:spPr>
          <a:ln w="3175">
            <a:solidFill>
              <a:srgbClr val="808080"/>
            </a:solidFill>
            <a:prstDash val="solid"/>
          </a:ln>
        </c:spPr>
        <c:txPr>
          <a:bodyPr rot="0" vert="horz"/>
          <a:lstStyle/>
          <a:p>
            <a:pPr>
              <a:defRPr sz="1825" b="0" i="0" u="none" strike="noStrike" baseline="0">
                <a:solidFill>
                  <a:srgbClr val="000000"/>
                </a:solidFill>
                <a:latin typeface="ＭＳ Ｐゴシック"/>
                <a:ea typeface="ＭＳ Ｐゴシック"/>
                <a:cs typeface="ＭＳ Ｐゴシック"/>
              </a:defRPr>
            </a:pPr>
            <a:endParaRPr lang="ja-JP"/>
          </a:p>
        </c:txPr>
        <c:crossAx val="162479488"/>
        <c:crosses val="autoZero"/>
        <c:auto val="1"/>
        <c:lblAlgn val="ctr"/>
        <c:lblOffset val="100"/>
        <c:tickLblSkip val="1"/>
        <c:tickMarkSkip val="1"/>
        <c:noMultiLvlLbl val="0"/>
      </c:catAx>
      <c:valAx>
        <c:axId val="162479488"/>
        <c:scaling>
          <c:orientation val="minMax"/>
        </c:scaling>
        <c:delete val="0"/>
        <c:axPos val="l"/>
        <c:majorGridlines>
          <c:spPr>
            <a:ln w="3175">
              <a:solidFill>
                <a:srgbClr val="808080"/>
              </a:solidFill>
              <a:prstDash val="solid"/>
            </a:ln>
          </c:spPr>
        </c:majorGridlines>
        <c:numFmt formatCode="#,##0_ ;[Red]\-#,##0\ " sourceLinked="1"/>
        <c:majorTickMark val="in"/>
        <c:minorTickMark val="none"/>
        <c:tickLblPos val="nextTo"/>
        <c:spPr>
          <a:ln w="3175">
            <a:solidFill>
              <a:srgbClr val="000000"/>
            </a:solidFill>
            <a:prstDash val="solid"/>
          </a:ln>
        </c:spPr>
        <c:txPr>
          <a:bodyPr rot="0" vert="horz"/>
          <a:lstStyle/>
          <a:p>
            <a:pPr>
              <a:defRPr sz="1825" b="0" i="0" u="none" strike="noStrike" baseline="0">
                <a:solidFill>
                  <a:srgbClr val="000000"/>
                </a:solidFill>
                <a:latin typeface="ＭＳ Ｐゴシック"/>
                <a:ea typeface="ＭＳ Ｐゴシック"/>
                <a:cs typeface="ＭＳ Ｐゴシック"/>
              </a:defRPr>
            </a:pPr>
            <a:endParaRPr lang="ja-JP"/>
          </a:p>
        </c:txPr>
        <c:crossAx val="162477568"/>
        <c:crosses val="autoZero"/>
        <c:crossBetween val="between"/>
        <c:dispUnits>
          <c:builtInUnit val="tenThousands"/>
          <c:dispUnitsLbl>
            <c:layout>
              <c:manualLayout>
                <c:xMode val="edge"/>
                <c:yMode val="edge"/>
                <c:x val="0.10668380462724936"/>
                <c:y val="0.47480403135498322"/>
              </c:manualLayout>
            </c:layout>
            <c:spPr>
              <a:noFill/>
              <a:ln w="25400">
                <a:noFill/>
              </a:ln>
            </c:spPr>
            <c:txPr>
              <a:bodyPr rot="0" vert="wordArtVertRtl"/>
              <a:lstStyle/>
              <a:p>
                <a:pPr algn="ctr">
                  <a:defRPr sz="1200" b="1" i="0" u="none" strike="noStrike" baseline="0">
                    <a:solidFill>
                      <a:srgbClr val="000000"/>
                    </a:solidFill>
                    <a:latin typeface="ＭＳ Ｐゴシック"/>
                    <a:ea typeface="ＭＳ Ｐゴシック"/>
                    <a:cs typeface="ＭＳ Ｐゴシック"/>
                  </a:defRPr>
                </a:pPr>
                <a:endParaRPr lang="ja-JP"/>
              </a:p>
            </c:txPr>
          </c:dispUnitsLbl>
        </c:dispUnits>
      </c:valAx>
      <c:catAx>
        <c:axId val="162489856"/>
        <c:scaling>
          <c:orientation val="minMax"/>
        </c:scaling>
        <c:delete val="1"/>
        <c:axPos val="b"/>
        <c:majorTickMark val="out"/>
        <c:minorTickMark val="none"/>
        <c:tickLblPos val="nextTo"/>
        <c:crossAx val="162491392"/>
        <c:crosses val="autoZero"/>
        <c:auto val="1"/>
        <c:lblAlgn val="ctr"/>
        <c:lblOffset val="100"/>
        <c:noMultiLvlLbl val="0"/>
      </c:catAx>
      <c:valAx>
        <c:axId val="162491392"/>
        <c:scaling>
          <c:orientation val="minMax"/>
        </c:scaling>
        <c:delete val="0"/>
        <c:axPos val="r"/>
        <c:numFmt formatCode="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Ｐゴシック"/>
                <a:ea typeface="ＭＳ Ｐゴシック"/>
                <a:cs typeface="ＭＳ Ｐゴシック"/>
              </a:defRPr>
            </a:pPr>
            <a:endParaRPr lang="ja-JP"/>
          </a:p>
        </c:txPr>
        <c:crossAx val="162489856"/>
        <c:crosses val="max"/>
        <c:crossBetween val="between"/>
      </c:valAx>
      <c:spPr>
        <a:gradFill rotWithShape="0">
          <a:gsLst>
            <a:gs pos="0">
              <a:srgbClr xmlns:mc="http://schemas.openxmlformats.org/markup-compatibility/2006" xmlns:a14="http://schemas.microsoft.com/office/drawing/2010/main" val="C0C0C0" mc:Ignorable="a14" a14:legacySpreadsheetColorIndex="22"/>
            </a:gs>
            <a:gs pos="50000">
              <a:srgbClr xmlns:mc="http://schemas.openxmlformats.org/markup-compatibility/2006" xmlns:a14="http://schemas.microsoft.com/office/drawing/2010/main" val="ECECEC" mc:Ignorable="a14" a14:legacySpreadsheetColorIndex="22">
                <a:gamma/>
                <a:tint val="30196"/>
                <a:invGamma/>
              </a:srgbClr>
            </a:gs>
            <a:gs pos="100000">
              <a:srgbClr xmlns:mc="http://schemas.openxmlformats.org/markup-compatibility/2006" xmlns:a14="http://schemas.microsoft.com/office/drawing/2010/main" val="C0C0C0" mc:Ignorable="a14" a14:legacySpreadsheetColorIndex="22"/>
            </a:gs>
          </a:gsLst>
          <a:lin ang="2700000" scaled="1"/>
        </a:gradFill>
        <a:ln w="12700">
          <a:solidFill>
            <a:srgbClr val="808080"/>
          </a:solidFill>
          <a:prstDash val="solid"/>
        </a:ln>
      </c:spPr>
    </c:plotArea>
    <c:legend>
      <c:legendPos val="l"/>
      <c:layout>
        <c:manualLayout>
          <c:xMode val="edge"/>
          <c:yMode val="edge"/>
          <c:wMode val="edge"/>
          <c:hMode val="edge"/>
          <c:x val="3.2133676092544988E-3"/>
          <c:y val="5.5991041433370659E-3"/>
          <c:w val="0.11632390745501285"/>
          <c:h val="0.2026875699888018"/>
        </c:manualLayout>
      </c:layout>
      <c:overlay val="0"/>
      <c:spPr>
        <a:solidFill>
          <a:srgbClr val="FFFFFF"/>
        </a:solidFill>
        <a:ln w="3175">
          <a:solidFill>
            <a:srgbClr val="000000"/>
          </a:solidFill>
          <a:prstDash val="solid"/>
        </a:ln>
      </c:spPr>
      <c:txPr>
        <a:bodyPr/>
        <a:lstStyle/>
        <a:p>
          <a:pPr>
            <a:defRPr sz="1100" b="0" i="0" u="none" strike="noStrike" baseline="0">
              <a:solidFill>
                <a:srgbClr val="000000"/>
              </a:solidFill>
              <a:latin typeface="ＭＳ Ｐゴシック"/>
              <a:ea typeface="ＭＳ Ｐゴシック"/>
              <a:cs typeface="ＭＳ Ｐゴシック"/>
            </a:defRPr>
          </a:pPr>
          <a:endParaRPr lang="ja-JP"/>
        </a:p>
      </c:txPr>
    </c:legend>
    <c:plotVisOnly val="1"/>
    <c:dispBlanksAs val="gap"/>
    <c:showDLblsOverMax val="0"/>
  </c:chart>
  <c:spPr>
    <a:solidFill>
      <a:srgbClr val="FFFFFF"/>
    </a:solidFill>
    <a:ln w="3175">
      <a:solidFill>
        <a:srgbClr val="000000"/>
      </a:solidFill>
      <a:prstDash val="solid"/>
    </a:ln>
  </c:spPr>
  <c:txPr>
    <a:bodyPr/>
    <a:lstStyle/>
    <a:p>
      <a:pPr>
        <a:defRPr sz="20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drawings/_rels/drawing6.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 Id="rId6" Type="http://schemas.openxmlformats.org/officeDocument/2006/relationships/chart" Target="../charts/chart7.xml"/><Relationship Id="rId5" Type="http://schemas.openxmlformats.org/officeDocument/2006/relationships/chart" Target="../charts/chart6.xml"/><Relationship Id="rId4" Type="http://schemas.openxmlformats.org/officeDocument/2006/relationships/chart" Target="../charts/chart5.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oneCellAnchor>
    <xdr:from>
      <xdr:col>22</xdr:col>
      <xdr:colOff>139700</xdr:colOff>
      <xdr:row>4</xdr:row>
      <xdr:rowOff>101600</xdr:rowOff>
    </xdr:from>
    <xdr:ext cx="3149600" cy="275717"/>
    <xdr:sp macro="" textlink="">
      <xdr:nvSpPr>
        <xdr:cNvPr id="2" name="四角形吹き出し 1"/>
        <xdr:cNvSpPr/>
      </xdr:nvSpPr>
      <xdr:spPr>
        <a:xfrm>
          <a:off x="4699000" y="990600"/>
          <a:ext cx="3149600" cy="275717"/>
        </a:xfrm>
        <a:prstGeom prst="wedgeRectCallout">
          <a:avLst>
            <a:gd name="adj1" fmla="val -109963"/>
            <a:gd name="adj2" fmla="val 22981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spAutoFit/>
        </a:bodyPr>
        <a:lstStyle/>
        <a:p>
          <a:pPr algn="l"/>
          <a:r>
            <a:rPr kumimoji="1" lang="ja-JP" altLang="en-US" sz="1100"/>
            <a:t>黄色枠内に入力。「注文業務」を対象にします。</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30</xdr:col>
      <xdr:colOff>139700</xdr:colOff>
      <xdr:row>3</xdr:row>
      <xdr:rowOff>101600</xdr:rowOff>
    </xdr:from>
    <xdr:to>
      <xdr:col>36</xdr:col>
      <xdr:colOff>0</xdr:colOff>
      <xdr:row>7</xdr:row>
      <xdr:rowOff>152400</xdr:rowOff>
    </xdr:to>
    <xdr:sp macro="" textlink="">
      <xdr:nvSpPr>
        <xdr:cNvPr id="3" name="下矢印 2"/>
        <xdr:cNvSpPr/>
      </xdr:nvSpPr>
      <xdr:spPr>
        <a:xfrm>
          <a:off x="8521700" y="812800"/>
          <a:ext cx="1536700" cy="660400"/>
        </a:xfrm>
        <a:prstGeom prst="downArrow">
          <a:avLst>
            <a:gd name="adj1" fmla="val 78099"/>
            <a:gd name="adj2" fmla="val 3360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ja-JP" sz="1100" b="1">
              <a:solidFill>
                <a:schemeClr val="lt1"/>
              </a:solidFill>
              <a:effectLst/>
              <a:latin typeface="+mn-lt"/>
              <a:ea typeface="+mn-ea"/>
              <a:cs typeface="+mn-cs"/>
            </a:rPr>
            <a:t>注文業務は</a:t>
          </a:r>
          <a:endParaRPr lang="ja-JP" altLang="ja-JP" b="1">
            <a:effectLst/>
          </a:endParaRPr>
        </a:p>
        <a:p>
          <a:pPr algn="ctr"/>
          <a:r>
            <a:rPr kumimoji="1" lang="ja-JP" altLang="ja-JP" sz="1100" b="1">
              <a:solidFill>
                <a:schemeClr val="lt1"/>
              </a:solidFill>
              <a:effectLst/>
              <a:latin typeface="+mn-lt"/>
              <a:ea typeface="+mn-ea"/>
              <a:cs typeface="+mn-cs"/>
            </a:rPr>
            <a:t>下方です。</a:t>
          </a:r>
          <a:endParaRPr lang="ja-JP" altLang="ja-JP" b="1">
            <a:effectLst/>
          </a:endParaRPr>
        </a:p>
        <a:p>
          <a:pPr algn="ctr"/>
          <a:endParaRPr kumimoji="1" lang="ja-JP" altLang="en-US" sz="1100" b="1"/>
        </a:p>
      </xdr:txBody>
    </xdr:sp>
    <xdr:clientData/>
  </xdr:twoCellAnchor>
  <xdr:twoCellAnchor>
    <xdr:from>
      <xdr:col>30</xdr:col>
      <xdr:colOff>190500</xdr:colOff>
      <xdr:row>49</xdr:row>
      <xdr:rowOff>88900</xdr:rowOff>
    </xdr:from>
    <xdr:to>
      <xdr:col>36</xdr:col>
      <xdr:colOff>50800</xdr:colOff>
      <xdr:row>53</xdr:row>
      <xdr:rowOff>114300</xdr:rowOff>
    </xdr:to>
    <xdr:sp macro="" textlink="">
      <xdr:nvSpPr>
        <xdr:cNvPr id="5" name="下矢印 4"/>
        <xdr:cNvSpPr/>
      </xdr:nvSpPr>
      <xdr:spPr>
        <a:xfrm>
          <a:off x="8572500" y="9944100"/>
          <a:ext cx="1536700" cy="660400"/>
        </a:xfrm>
        <a:prstGeom prst="downArrow">
          <a:avLst>
            <a:gd name="adj1" fmla="val 78099"/>
            <a:gd name="adj2" fmla="val 3360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ja-JP" sz="1100" b="1">
              <a:solidFill>
                <a:schemeClr val="lt1"/>
              </a:solidFill>
              <a:effectLst/>
              <a:latin typeface="+mn-lt"/>
              <a:ea typeface="+mn-ea"/>
              <a:cs typeface="+mn-cs"/>
            </a:rPr>
            <a:t>注文業務は</a:t>
          </a:r>
          <a:endParaRPr lang="ja-JP" altLang="ja-JP" b="1">
            <a:effectLst/>
          </a:endParaRPr>
        </a:p>
        <a:p>
          <a:pPr algn="ctr"/>
          <a:r>
            <a:rPr kumimoji="1" lang="ja-JP" altLang="ja-JP" sz="1100" b="1">
              <a:solidFill>
                <a:schemeClr val="lt1"/>
              </a:solidFill>
              <a:effectLst/>
              <a:latin typeface="+mn-lt"/>
              <a:ea typeface="+mn-ea"/>
              <a:cs typeface="+mn-cs"/>
            </a:rPr>
            <a:t>下方です。</a:t>
          </a:r>
          <a:endParaRPr lang="ja-JP" altLang="ja-JP" b="1">
            <a:effectLst/>
          </a:endParaRPr>
        </a:p>
        <a:p>
          <a:pPr algn="ctr"/>
          <a:endParaRPr kumimoji="1" lang="ja-JP" altLang="en-US" sz="1100" b="1"/>
        </a:p>
      </xdr:txBody>
    </xdr:sp>
    <xdr:clientData/>
  </xdr:twoCellAnchor>
  <xdr:twoCellAnchor>
    <xdr:from>
      <xdr:col>31</xdr:col>
      <xdr:colOff>228600</xdr:colOff>
      <xdr:row>58</xdr:row>
      <xdr:rowOff>25400</xdr:rowOff>
    </xdr:from>
    <xdr:to>
      <xdr:col>35</xdr:col>
      <xdr:colOff>158749</xdr:colOff>
      <xdr:row>62</xdr:row>
      <xdr:rowOff>47625</xdr:rowOff>
    </xdr:to>
    <xdr:sp macro="" textlink="">
      <xdr:nvSpPr>
        <xdr:cNvPr id="8" name="左矢印 7"/>
        <xdr:cNvSpPr/>
      </xdr:nvSpPr>
      <xdr:spPr>
        <a:xfrm>
          <a:off x="8890000" y="11595100"/>
          <a:ext cx="1047749" cy="657225"/>
        </a:xfrm>
        <a:prstGeom prst="leftArrow">
          <a:avLst>
            <a:gd name="adj1" fmla="val 64493"/>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ja-JP" sz="1100" b="1">
              <a:solidFill>
                <a:schemeClr val="lt1"/>
              </a:solidFill>
              <a:effectLst/>
              <a:latin typeface="+mn-lt"/>
              <a:ea typeface="+mn-ea"/>
              <a:cs typeface="+mn-cs"/>
            </a:rPr>
            <a:t>注文業務</a:t>
          </a:r>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31</xdr:col>
      <xdr:colOff>219075</xdr:colOff>
      <xdr:row>4</xdr:row>
      <xdr:rowOff>38100</xdr:rowOff>
    </xdr:from>
    <xdr:to>
      <xdr:col>36</xdr:col>
      <xdr:colOff>38099</xdr:colOff>
      <xdr:row>7</xdr:row>
      <xdr:rowOff>41275</xdr:rowOff>
    </xdr:to>
    <xdr:sp macro="" textlink="">
      <xdr:nvSpPr>
        <xdr:cNvPr id="6" name="下矢印 5"/>
        <xdr:cNvSpPr/>
      </xdr:nvSpPr>
      <xdr:spPr>
        <a:xfrm>
          <a:off x="8772525" y="904875"/>
          <a:ext cx="1200149" cy="527050"/>
        </a:xfrm>
        <a:prstGeom prst="downArrow">
          <a:avLst>
            <a:gd name="adj1" fmla="val 78099"/>
            <a:gd name="adj2" fmla="val 16299"/>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ja-JP" sz="1100" b="1">
              <a:solidFill>
                <a:schemeClr val="lt1"/>
              </a:solidFill>
              <a:effectLst/>
              <a:latin typeface="+mn-lt"/>
              <a:ea typeface="+mn-ea"/>
              <a:cs typeface="+mn-cs"/>
            </a:rPr>
            <a:t>注文業務は</a:t>
          </a:r>
          <a:endParaRPr lang="ja-JP" altLang="ja-JP" b="1">
            <a:effectLst/>
          </a:endParaRPr>
        </a:p>
        <a:p>
          <a:pPr algn="ctr"/>
          <a:r>
            <a:rPr kumimoji="1" lang="ja-JP" altLang="ja-JP" sz="1100" b="1">
              <a:solidFill>
                <a:schemeClr val="lt1"/>
              </a:solidFill>
              <a:effectLst/>
              <a:latin typeface="+mn-lt"/>
              <a:ea typeface="+mn-ea"/>
              <a:cs typeface="+mn-cs"/>
            </a:rPr>
            <a:t>下方です。</a:t>
          </a:r>
          <a:endParaRPr lang="ja-JP" altLang="ja-JP" b="1">
            <a:effectLst/>
          </a:endParaRPr>
        </a:p>
        <a:p>
          <a:pPr algn="ctr"/>
          <a:endParaRPr kumimoji="1" lang="ja-JP" altLang="en-US" sz="1100" b="1"/>
        </a:p>
      </xdr:txBody>
    </xdr:sp>
    <xdr:clientData/>
  </xdr:twoCellAnchor>
  <xdr:twoCellAnchor>
    <xdr:from>
      <xdr:col>31</xdr:col>
      <xdr:colOff>247650</xdr:colOff>
      <xdr:row>12</xdr:row>
      <xdr:rowOff>180975</xdr:rowOff>
    </xdr:from>
    <xdr:to>
      <xdr:col>35</xdr:col>
      <xdr:colOff>190499</xdr:colOff>
      <xdr:row>17</xdr:row>
      <xdr:rowOff>9525</xdr:rowOff>
    </xdr:to>
    <xdr:sp macro="" textlink="">
      <xdr:nvSpPr>
        <xdr:cNvPr id="7" name="左矢印 6"/>
        <xdr:cNvSpPr/>
      </xdr:nvSpPr>
      <xdr:spPr>
        <a:xfrm>
          <a:off x="8801100" y="2390775"/>
          <a:ext cx="1047749" cy="657225"/>
        </a:xfrm>
        <a:prstGeom prst="leftArrow">
          <a:avLst>
            <a:gd name="adj1" fmla="val 64493"/>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ja-JP" sz="1100" b="1">
              <a:solidFill>
                <a:schemeClr val="lt1"/>
              </a:solidFill>
              <a:effectLst/>
              <a:latin typeface="+mn-lt"/>
              <a:ea typeface="+mn-ea"/>
              <a:cs typeface="+mn-cs"/>
            </a:rPr>
            <a:t>注文業務</a:t>
          </a:r>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28575</xdr:colOff>
          <xdr:row>7</xdr:row>
          <xdr:rowOff>95250</xdr:rowOff>
        </xdr:from>
        <xdr:to>
          <xdr:col>13</xdr:col>
          <xdr:colOff>95250</xdr:colOff>
          <xdr:row>9</xdr:row>
          <xdr:rowOff>19050</xdr:rowOff>
        </xdr:to>
        <xdr:sp macro="" textlink="">
          <xdr:nvSpPr>
            <xdr:cNvPr id="191489" name="calcInvest" hidden="1">
              <a:extLst>
                <a:ext uri="{63B3BB69-23CF-44E3-9099-C40C66FF867C}">
                  <a14:compatExt spid="_x0000_s191489"/>
                </a:ext>
              </a:extLst>
            </xdr:cNvPr>
            <xdr:cNvSpPr/>
          </xdr:nvSpPr>
          <xdr:spPr>
            <a:xfrm>
              <a:off x="0" y="0"/>
              <a:ext cx="0" cy="0"/>
            </a:xfrm>
            <a:prstGeom prst="rect">
              <a:avLst/>
            </a:prstGeom>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2</xdr:col>
      <xdr:colOff>85725</xdr:colOff>
      <xdr:row>2</xdr:row>
      <xdr:rowOff>38100</xdr:rowOff>
    </xdr:from>
    <xdr:to>
      <xdr:col>2</xdr:col>
      <xdr:colOff>695325</xdr:colOff>
      <xdr:row>2</xdr:row>
      <xdr:rowOff>190500</xdr:rowOff>
    </xdr:to>
    <xdr:sp macro="" textlink="">
      <xdr:nvSpPr>
        <xdr:cNvPr id="163848" name="Rectangle 1032"/>
        <xdr:cNvSpPr>
          <a:spLocks noChangeArrowheads="1"/>
        </xdr:cNvSpPr>
      </xdr:nvSpPr>
      <xdr:spPr bwMode="auto">
        <a:xfrm>
          <a:off x="714375" y="352425"/>
          <a:ext cx="609600" cy="152400"/>
        </a:xfrm>
        <a:prstGeom prst="rect">
          <a:avLst/>
        </a:prstGeom>
        <a:solidFill>
          <a:srgbClr val="FFFF00"/>
        </a:solidFill>
        <a:ln w="9525">
          <a:solidFill>
            <a:srgbClr val="000000"/>
          </a:solidFill>
          <a:miter lim="800000"/>
          <a:headEnd/>
          <a:tailEnd/>
        </a:ln>
      </xdr:spPr>
      <xdr:txBody>
        <a:bodyPr vertOverflow="clip" wrap="square" lIns="91440" tIns="45720" rIns="91440" bIns="45720" anchor="t" upright="1"/>
        <a:lstStyle/>
        <a:p>
          <a:pPr algn="l" rtl="0">
            <a:defRPr sz="1000"/>
          </a:pPr>
          <a:endParaRPr lang="ja-JP" altLang="en-US" sz="18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2</xdr:col>
      <xdr:colOff>85725</xdr:colOff>
      <xdr:row>3</xdr:row>
      <xdr:rowOff>47625</xdr:rowOff>
    </xdr:from>
    <xdr:to>
      <xdr:col>2</xdr:col>
      <xdr:colOff>695325</xdr:colOff>
      <xdr:row>3</xdr:row>
      <xdr:rowOff>190500</xdr:rowOff>
    </xdr:to>
    <xdr:sp macro="" textlink="">
      <xdr:nvSpPr>
        <xdr:cNvPr id="163849" name="Rectangle 1033"/>
        <xdr:cNvSpPr>
          <a:spLocks noChangeArrowheads="1"/>
        </xdr:cNvSpPr>
      </xdr:nvSpPr>
      <xdr:spPr bwMode="auto">
        <a:xfrm>
          <a:off x="714375" y="561975"/>
          <a:ext cx="609600" cy="142875"/>
        </a:xfrm>
        <a:prstGeom prst="rect">
          <a:avLst/>
        </a:prstGeom>
        <a:solidFill>
          <a:srgbClr val="CCFFCC"/>
        </a:solidFill>
        <a:ln w="9525">
          <a:solidFill>
            <a:srgbClr val="000000"/>
          </a:solidFill>
          <a:miter lim="800000"/>
          <a:headEnd/>
          <a:tailEnd/>
        </a:ln>
      </xdr:spPr>
      <xdr:txBody>
        <a:bodyPr vertOverflow="clip" wrap="square" lIns="91440" tIns="45720" rIns="91440" bIns="45720" anchor="t" upright="1"/>
        <a:lstStyle/>
        <a:p>
          <a:pPr algn="l" rtl="0">
            <a:defRPr sz="1000"/>
          </a:pPr>
          <a:endParaRPr lang="ja-JP" altLang="en-US" sz="18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2</xdr:col>
      <xdr:colOff>85725</xdr:colOff>
      <xdr:row>4</xdr:row>
      <xdr:rowOff>47625</xdr:rowOff>
    </xdr:from>
    <xdr:to>
      <xdr:col>2</xdr:col>
      <xdr:colOff>695325</xdr:colOff>
      <xdr:row>4</xdr:row>
      <xdr:rowOff>200025</xdr:rowOff>
    </xdr:to>
    <xdr:sp macro="" textlink="">
      <xdr:nvSpPr>
        <xdr:cNvPr id="163850" name="Rectangle 1034"/>
        <xdr:cNvSpPr>
          <a:spLocks noChangeArrowheads="1"/>
        </xdr:cNvSpPr>
      </xdr:nvSpPr>
      <xdr:spPr bwMode="auto">
        <a:xfrm>
          <a:off x="714375" y="762000"/>
          <a:ext cx="609600" cy="152400"/>
        </a:xfrm>
        <a:prstGeom prst="rect">
          <a:avLst/>
        </a:prstGeom>
        <a:solidFill>
          <a:srgbClr val="FFCC00"/>
        </a:solidFill>
        <a:ln w="9525">
          <a:solidFill>
            <a:srgbClr val="000000"/>
          </a:solidFill>
          <a:miter lim="800000"/>
          <a:headEnd/>
          <a:tailEnd/>
        </a:ln>
      </xdr:spPr>
      <xdr:txBody>
        <a:bodyPr vertOverflow="clip" wrap="square" lIns="91440" tIns="45720" rIns="91440" bIns="45720" anchor="t" upright="1"/>
        <a:lstStyle/>
        <a:p>
          <a:pPr algn="l" rtl="0">
            <a:defRPr sz="1000"/>
          </a:pPr>
          <a:endParaRPr lang="ja-JP" altLang="en-US" sz="18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3</xdr:col>
      <xdr:colOff>66675</xdr:colOff>
      <xdr:row>2</xdr:row>
      <xdr:rowOff>38100</xdr:rowOff>
    </xdr:from>
    <xdr:to>
      <xdr:col>3</xdr:col>
      <xdr:colOff>676275</xdr:colOff>
      <xdr:row>2</xdr:row>
      <xdr:rowOff>190500</xdr:rowOff>
    </xdr:to>
    <xdr:sp macro="" textlink="">
      <xdr:nvSpPr>
        <xdr:cNvPr id="163854" name="Rectangle 1038"/>
        <xdr:cNvSpPr>
          <a:spLocks noChangeArrowheads="1"/>
        </xdr:cNvSpPr>
      </xdr:nvSpPr>
      <xdr:spPr bwMode="auto">
        <a:xfrm>
          <a:off x="3419475" y="352425"/>
          <a:ext cx="609600" cy="152400"/>
        </a:xfrm>
        <a:prstGeom prst="rect">
          <a:avLst/>
        </a:prstGeom>
        <a:solidFill>
          <a:srgbClr xmlns:mc="http://schemas.openxmlformats.org/markup-compatibility/2006" xmlns:a14="http://schemas.microsoft.com/office/drawing/2010/main" val="C0C0C0" mc:Ignorable="a14" a14:legacySpreadsheetColorIndex="22"/>
        </a:solidFill>
        <a:ln w="9525">
          <a:solidFill>
            <a:srgbClr val="000000"/>
          </a:solidFill>
          <a:miter lim="800000"/>
          <a:headEnd/>
          <a:tailEnd/>
        </a:ln>
      </xdr:spPr>
      <xdr:txBody>
        <a:bodyPr vertOverflow="clip" wrap="square" lIns="91440" tIns="45720" rIns="91440" bIns="45720" anchor="t" upright="1"/>
        <a:lstStyle/>
        <a:p>
          <a:pPr algn="l" rtl="0">
            <a:defRPr sz="1000"/>
          </a:pPr>
          <a:endParaRPr lang="ja-JP" altLang="en-US" sz="18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13</xdr:col>
      <xdr:colOff>85725</xdr:colOff>
      <xdr:row>2</xdr:row>
      <xdr:rowOff>38100</xdr:rowOff>
    </xdr:from>
    <xdr:to>
      <xdr:col>13</xdr:col>
      <xdr:colOff>695325</xdr:colOff>
      <xdr:row>2</xdr:row>
      <xdr:rowOff>190500</xdr:rowOff>
    </xdr:to>
    <xdr:sp macro="" textlink="">
      <xdr:nvSpPr>
        <xdr:cNvPr id="163856" name="Rectangle 1040"/>
        <xdr:cNvSpPr>
          <a:spLocks noChangeArrowheads="1"/>
        </xdr:cNvSpPr>
      </xdr:nvSpPr>
      <xdr:spPr bwMode="auto">
        <a:xfrm>
          <a:off x="14201775" y="352425"/>
          <a:ext cx="609600" cy="152400"/>
        </a:xfrm>
        <a:prstGeom prst="rect">
          <a:avLst/>
        </a:prstGeom>
        <a:solidFill>
          <a:srgbClr val="FFFF00"/>
        </a:solidFill>
        <a:ln w="9525">
          <a:solidFill>
            <a:srgbClr val="000000"/>
          </a:solidFill>
          <a:miter lim="800000"/>
          <a:headEnd/>
          <a:tailEnd/>
        </a:ln>
      </xdr:spPr>
      <xdr:txBody>
        <a:bodyPr vertOverflow="clip" wrap="square" lIns="91440" tIns="45720" rIns="91440" bIns="45720" anchor="t" upright="1"/>
        <a:lstStyle/>
        <a:p>
          <a:pPr algn="l" rtl="0">
            <a:defRPr sz="1000"/>
          </a:pPr>
          <a:endParaRPr lang="ja-JP" altLang="en-US" sz="18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13</xdr:col>
      <xdr:colOff>85725</xdr:colOff>
      <xdr:row>3</xdr:row>
      <xdr:rowOff>47625</xdr:rowOff>
    </xdr:from>
    <xdr:to>
      <xdr:col>13</xdr:col>
      <xdr:colOff>695325</xdr:colOff>
      <xdr:row>3</xdr:row>
      <xdr:rowOff>190500</xdr:rowOff>
    </xdr:to>
    <xdr:sp macro="" textlink="">
      <xdr:nvSpPr>
        <xdr:cNvPr id="163857" name="Rectangle 1041"/>
        <xdr:cNvSpPr>
          <a:spLocks noChangeArrowheads="1"/>
        </xdr:cNvSpPr>
      </xdr:nvSpPr>
      <xdr:spPr bwMode="auto">
        <a:xfrm>
          <a:off x="14201775" y="561975"/>
          <a:ext cx="609600" cy="142875"/>
        </a:xfrm>
        <a:prstGeom prst="rect">
          <a:avLst/>
        </a:prstGeom>
        <a:solidFill>
          <a:srgbClr val="CCFFCC"/>
        </a:solidFill>
        <a:ln w="9525">
          <a:solidFill>
            <a:srgbClr val="000000"/>
          </a:solidFill>
          <a:miter lim="800000"/>
          <a:headEnd/>
          <a:tailEnd/>
        </a:ln>
      </xdr:spPr>
      <xdr:txBody>
        <a:bodyPr vertOverflow="clip" wrap="square" lIns="91440" tIns="45720" rIns="91440" bIns="45720" anchor="t" upright="1"/>
        <a:lstStyle/>
        <a:p>
          <a:pPr algn="l" rtl="0">
            <a:defRPr sz="1000"/>
          </a:pPr>
          <a:endParaRPr lang="ja-JP" altLang="en-US" sz="18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13</xdr:col>
      <xdr:colOff>85725</xdr:colOff>
      <xdr:row>4</xdr:row>
      <xdr:rowOff>47625</xdr:rowOff>
    </xdr:from>
    <xdr:to>
      <xdr:col>13</xdr:col>
      <xdr:colOff>695325</xdr:colOff>
      <xdr:row>4</xdr:row>
      <xdr:rowOff>200025</xdr:rowOff>
    </xdr:to>
    <xdr:sp macro="" textlink="">
      <xdr:nvSpPr>
        <xdr:cNvPr id="163858" name="Rectangle 1042"/>
        <xdr:cNvSpPr>
          <a:spLocks noChangeArrowheads="1"/>
        </xdr:cNvSpPr>
      </xdr:nvSpPr>
      <xdr:spPr bwMode="auto">
        <a:xfrm>
          <a:off x="14201775" y="762000"/>
          <a:ext cx="609600" cy="152400"/>
        </a:xfrm>
        <a:prstGeom prst="rect">
          <a:avLst/>
        </a:prstGeom>
        <a:solidFill>
          <a:srgbClr val="FFCC00"/>
        </a:solidFill>
        <a:ln w="9525">
          <a:solidFill>
            <a:srgbClr val="000000"/>
          </a:solidFill>
          <a:miter lim="800000"/>
          <a:headEnd/>
          <a:tailEnd/>
        </a:ln>
      </xdr:spPr>
      <xdr:txBody>
        <a:bodyPr vertOverflow="clip" wrap="square" lIns="91440" tIns="45720" rIns="91440" bIns="45720" anchor="t" upright="1"/>
        <a:lstStyle/>
        <a:p>
          <a:pPr algn="l" rtl="0">
            <a:defRPr sz="1000"/>
          </a:pPr>
          <a:endParaRPr lang="ja-JP" altLang="en-US" sz="18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14</xdr:col>
      <xdr:colOff>66675</xdr:colOff>
      <xdr:row>2</xdr:row>
      <xdr:rowOff>38100</xdr:rowOff>
    </xdr:from>
    <xdr:to>
      <xdr:col>14</xdr:col>
      <xdr:colOff>571500</xdr:colOff>
      <xdr:row>2</xdr:row>
      <xdr:rowOff>190500</xdr:rowOff>
    </xdr:to>
    <xdr:sp macro="" textlink="">
      <xdr:nvSpPr>
        <xdr:cNvPr id="163859" name="Rectangle 1043"/>
        <xdr:cNvSpPr>
          <a:spLocks noChangeArrowheads="1"/>
        </xdr:cNvSpPr>
      </xdr:nvSpPr>
      <xdr:spPr bwMode="auto">
        <a:xfrm>
          <a:off x="17278350" y="352425"/>
          <a:ext cx="504825" cy="152400"/>
        </a:xfrm>
        <a:prstGeom prst="rect">
          <a:avLst/>
        </a:prstGeom>
        <a:solidFill>
          <a:srgbClr xmlns:mc="http://schemas.openxmlformats.org/markup-compatibility/2006" xmlns:a14="http://schemas.microsoft.com/office/drawing/2010/main" val="C0C0C0" mc:Ignorable="a14" a14:legacySpreadsheetColorIndex="22"/>
        </a:solidFill>
        <a:ln w="9525">
          <a:solidFill>
            <a:srgbClr val="000000"/>
          </a:solidFill>
          <a:miter lim="800000"/>
          <a:headEnd/>
          <a:tailEnd/>
        </a:ln>
      </xdr:spPr>
      <xdr:txBody>
        <a:bodyPr vertOverflow="clip" wrap="square" lIns="91440" tIns="45720" rIns="91440" bIns="45720" anchor="t" upright="1"/>
        <a:lstStyle/>
        <a:p>
          <a:pPr algn="l" rtl="0">
            <a:defRPr sz="1000"/>
          </a:pPr>
          <a:endParaRPr lang="ja-JP" altLang="en-US" sz="18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9</xdr:col>
      <xdr:colOff>254000</xdr:colOff>
      <xdr:row>6</xdr:row>
      <xdr:rowOff>38100</xdr:rowOff>
    </xdr:from>
    <xdr:to>
      <xdr:col>10</xdr:col>
      <xdr:colOff>3175</xdr:colOff>
      <xdr:row>10</xdr:row>
      <xdr:rowOff>0</xdr:rowOff>
    </xdr:to>
    <xdr:sp macro="" textlink="">
      <xdr:nvSpPr>
        <xdr:cNvPr id="11" name="下矢印 10"/>
        <xdr:cNvSpPr/>
      </xdr:nvSpPr>
      <xdr:spPr>
        <a:xfrm>
          <a:off x="12153900" y="1079500"/>
          <a:ext cx="1171575" cy="558800"/>
        </a:xfrm>
        <a:prstGeom prst="downArrow">
          <a:avLst>
            <a:gd name="adj1" fmla="val 78099"/>
            <a:gd name="adj2" fmla="val 1932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ja-JP" sz="1100" b="1">
              <a:solidFill>
                <a:schemeClr val="lt1"/>
              </a:solidFill>
              <a:effectLst/>
              <a:latin typeface="+mn-lt"/>
              <a:ea typeface="+mn-ea"/>
              <a:cs typeface="+mn-cs"/>
            </a:rPr>
            <a:t>注文業務は</a:t>
          </a:r>
          <a:endParaRPr lang="ja-JP" altLang="ja-JP" b="1">
            <a:effectLst/>
          </a:endParaRPr>
        </a:p>
        <a:p>
          <a:pPr algn="ctr"/>
          <a:r>
            <a:rPr kumimoji="1" lang="ja-JP" altLang="ja-JP" sz="1100" b="1">
              <a:solidFill>
                <a:schemeClr val="lt1"/>
              </a:solidFill>
              <a:effectLst/>
              <a:latin typeface="+mn-lt"/>
              <a:ea typeface="+mn-ea"/>
              <a:cs typeface="+mn-cs"/>
            </a:rPr>
            <a:t>下方です。</a:t>
          </a:r>
          <a:endParaRPr lang="ja-JP" altLang="ja-JP" b="1">
            <a:effectLst/>
          </a:endParaRPr>
        </a:p>
        <a:p>
          <a:pPr algn="ctr"/>
          <a:endParaRPr kumimoji="1" lang="ja-JP" altLang="en-US" sz="1100" b="1"/>
        </a:p>
      </xdr:txBody>
    </xdr:sp>
    <xdr:clientData/>
  </xdr:twoCellAnchor>
  <xdr:twoCellAnchor>
    <xdr:from>
      <xdr:col>9</xdr:col>
      <xdr:colOff>266700</xdr:colOff>
      <xdr:row>142</xdr:row>
      <xdr:rowOff>12700</xdr:rowOff>
    </xdr:from>
    <xdr:to>
      <xdr:col>9</xdr:col>
      <xdr:colOff>1314449</xdr:colOff>
      <xdr:row>146</xdr:row>
      <xdr:rowOff>73025</xdr:rowOff>
    </xdr:to>
    <xdr:sp macro="" textlink="">
      <xdr:nvSpPr>
        <xdr:cNvPr id="12" name="左矢印 11"/>
        <xdr:cNvSpPr/>
      </xdr:nvSpPr>
      <xdr:spPr>
        <a:xfrm>
          <a:off x="12166600" y="29375100"/>
          <a:ext cx="1047749" cy="657225"/>
        </a:xfrm>
        <a:prstGeom prst="leftArrow">
          <a:avLst>
            <a:gd name="adj1" fmla="val 64493"/>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ja-JP" sz="1100" b="1">
              <a:solidFill>
                <a:schemeClr val="lt1"/>
              </a:solidFill>
              <a:effectLst/>
              <a:latin typeface="+mn-lt"/>
              <a:ea typeface="+mn-ea"/>
              <a:cs typeface="+mn-cs"/>
            </a:rPr>
            <a:t>注文業務</a:t>
          </a:r>
          <a:endParaRPr kumimoji="1" lang="ja-JP" altLang="en-US" sz="1100"/>
        </a:p>
      </xdr:txBody>
    </xdr:sp>
    <xdr:clientData/>
  </xdr:twoCellAnchor>
  <xdr:twoCellAnchor>
    <xdr:from>
      <xdr:col>9</xdr:col>
      <xdr:colOff>254000</xdr:colOff>
      <xdr:row>76</xdr:row>
      <xdr:rowOff>101600</xdr:rowOff>
    </xdr:from>
    <xdr:to>
      <xdr:col>10</xdr:col>
      <xdr:colOff>3175</xdr:colOff>
      <xdr:row>80</xdr:row>
      <xdr:rowOff>127000</xdr:rowOff>
    </xdr:to>
    <xdr:sp macro="" textlink="">
      <xdr:nvSpPr>
        <xdr:cNvPr id="13" name="下矢印 12"/>
        <xdr:cNvSpPr/>
      </xdr:nvSpPr>
      <xdr:spPr>
        <a:xfrm>
          <a:off x="12153900" y="16179800"/>
          <a:ext cx="1171575" cy="622300"/>
        </a:xfrm>
        <a:prstGeom prst="downArrow">
          <a:avLst>
            <a:gd name="adj1" fmla="val 78099"/>
            <a:gd name="adj2" fmla="val 3360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ja-JP" sz="1100" b="1">
              <a:solidFill>
                <a:schemeClr val="lt1"/>
              </a:solidFill>
              <a:effectLst/>
              <a:latin typeface="+mn-lt"/>
              <a:ea typeface="+mn-ea"/>
              <a:cs typeface="+mn-cs"/>
            </a:rPr>
            <a:t>注文業務は</a:t>
          </a:r>
          <a:endParaRPr lang="ja-JP" altLang="ja-JP" b="1">
            <a:effectLst/>
          </a:endParaRPr>
        </a:p>
        <a:p>
          <a:pPr algn="ctr"/>
          <a:r>
            <a:rPr kumimoji="1" lang="ja-JP" altLang="ja-JP" sz="1100" b="1">
              <a:solidFill>
                <a:schemeClr val="lt1"/>
              </a:solidFill>
              <a:effectLst/>
              <a:latin typeface="+mn-lt"/>
              <a:ea typeface="+mn-ea"/>
              <a:cs typeface="+mn-cs"/>
            </a:rPr>
            <a:t>下方です。</a:t>
          </a:r>
          <a:endParaRPr lang="ja-JP" altLang="ja-JP" b="1">
            <a:effectLst/>
          </a:endParaRPr>
        </a:p>
        <a:p>
          <a:pPr algn="ctr"/>
          <a:endParaRPr kumimoji="1" lang="ja-JP" altLang="en-US" sz="1100" b="1"/>
        </a:p>
      </xdr:txBody>
    </xdr:sp>
    <xdr:clientData/>
  </xdr:twoCellAnchor>
  <xdr:twoCellAnchor>
    <xdr:from>
      <xdr:col>9</xdr:col>
      <xdr:colOff>266700</xdr:colOff>
      <xdr:row>202</xdr:row>
      <xdr:rowOff>38100</xdr:rowOff>
    </xdr:from>
    <xdr:to>
      <xdr:col>9</xdr:col>
      <xdr:colOff>1314449</xdr:colOff>
      <xdr:row>206</xdr:row>
      <xdr:rowOff>98425</xdr:rowOff>
    </xdr:to>
    <xdr:sp macro="" textlink="">
      <xdr:nvSpPr>
        <xdr:cNvPr id="14" name="左矢印 13"/>
        <xdr:cNvSpPr/>
      </xdr:nvSpPr>
      <xdr:spPr>
        <a:xfrm>
          <a:off x="12166600" y="42659300"/>
          <a:ext cx="1047749" cy="657225"/>
        </a:xfrm>
        <a:prstGeom prst="leftArrow">
          <a:avLst>
            <a:gd name="adj1" fmla="val 64493"/>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ja-JP" sz="1100" b="1">
              <a:solidFill>
                <a:schemeClr val="lt1"/>
              </a:solidFill>
              <a:effectLst/>
              <a:latin typeface="+mn-lt"/>
              <a:ea typeface="+mn-ea"/>
              <a:cs typeface="+mn-cs"/>
            </a:rPr>
            <a:t>注文業務</a:t>
          </a:r>
          <a:endParaRPr kumimoji="1" lang="ja-JP" alt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19</xdr:col>
      <xdr:colOff>66675</xdr:colOff>
      <xdr:row>12</xdr:row>
      <xdr:rowOff>47625</xdr:rowOff>
    </xdr:from>
    <xdr:to>
      <xdr:col>22</xdr:col>
      <xdr:colOff>123825</xdr:colOff>
      <xdr:row>16</xdr:row>
      <xdr:rowOff>0</xdr:rowOff>
    </xdr:to>
    <xdr:sp macro="" textlink="">
      <xdr:nvSpPr>
        <xdr:cNvPr id="193913" name="AutoShape 1"/>
        <xdr:cNvSpPr>
          <a:spLocks noChangeArrowheads="1"/>
        </xdr:cNvSpPr>
      </xdr:nvSpPr>
      <xdr:spPr bwMode="auto">
        <a:xfrm>
          <a:off x="3895725" y="2476500"/>
          <a:ext cx="657225" cy="923925"/>
        </a:xfrm>
        <a:prstGeom prst="rightArrow">
          <a:avLst>
            <a:gd name="adj1" fmla="val 49333"/>
            <a:gd name="adj2" fmla="val 57625"/>
          </a:avLst>
        </a:prstGeom>
        <a:gradFill rotWithShape="1">
          <a:gsLst>
            <a:gs pos="0">
              <a:srgbClr val="A9A9FF"/>
            </a:gs>
            <a:gs pos="50000">
              <a:srgbClr xmlns:mc="http://schemas.openxmlformats.org/markup-compatibility/2006" xmlns:a14="http://schemas.microsoft.com/office/drawing/2010/main" val="0000FF" mc:Ignorable="a14" a14:legacySpreadsheetColorIndex="12"/>
            </a:gs>
            <a:gs pos="100000">
              <a:srgbClr val="A9A9FF"/>
            </a:gs>
          </a:gsLst>
          <a:lin ang="5400000" scaled="1"/>
        </a:gradFill>
        <a:ln w="9525">
          <a:solidFill>
            <a:srgbClr xmlns:mc="http://schemas.openxmlformats.org/markup-compatibility/2006" xmlns:a14="http://schemas.microsoft.com/office/drawing/2010/main" val="808080" mc:Ignorable="a14" a14:legacySpreadsheetColorIndex="23"/>
          </a:solidFill>
          <a:miter lim="800000"/>
          <a:headEnd/>
          <a:tailEnd/>
        </a:ln>
      </xdr:spPr>
    </xdr:sp>
    <xdr:clientData/>
  </xdr:twoCellAnchor>
  <xdr:twoCellAnchor>
    <xdr:from>
      <xdr:col>6</xdr:col>
      <xdr:colOff>152400</xdr:colOff>
      <xdr:row>23</xdr:row>
      <xdr:rowOff>152400</xdr:rowOff>
    </xdr:from>
    <xdr:to>
      <xdr:col>10</xdr:col>
      <xdr:colOff>180975</xdr:colOff>
      <xdr:row>27</xdr:row>
      <xdr:rowOff>133350</xdr:rowOff>
    </xdr:to>
    <xdr:sp macro="" textlink="">
      <xdr:nvSpPr>
        <xdr:cNvPr id="193914" name="AutoShape 2"/>
        <xdr:cNvSpPr>
          <a:spLocks noChangeArrowheads="1"/>
        </xdr:cNvSpPr>
      </xdr:nvSpPr>
      <xdr:spPr bwMode="auto">
        <a:xfrm>
          <a:off x="1381125" y="5238750"/>
          <a:ext cx="828675" cy="885825"/>
        </a:xfrm>
        <a:prstGeom prst="downArrow">
          <a:avLst>
            <a:gd name="adj1" fmla="val 47944"/>
            <a:gd name="adj2" fmla="val 56472"/>
          </a:avLst>
        </a:prstGeom>
        <a:gradFill rotWithShape="1">
          <a:gsLst>
            <a:gs pos="0">
              <a:srgbClr val="A9A9FF"/>
            </a:gs>
            <a:gs pos="50000">
              <a:srgbClr xmlns:mc="http://schemas.openxmlformats.org/markup-compatibility/2006" xmlns:a14="http://schemas.microsoft.com/office/drawing/2010/main" val="0000FF" mc:Ignorable="a14" a14:legacySpreadsheetColorIndex="12"/>
            </a:gs>
            <a:gs pos="100000">
              <a:srgbClr val="A9A9FF"/>
            </a:gs>
          </a:gsLst>
          <a:lin ang="0" scaled="1"/>
        </a:gradFill>
        <a:ln w="9525">
          <a:solidFill>
            <a:srgbClr xmlns:mc="http://schemas.openxmlformats.org/markup-compatibility/2006" xmlns:a14="http://schemas.microsoft.com/office/drawing/2010/main" val="808080" mc:Ignorable="a14" a14:legacySpreadsheetColorIndex="23"/>
          </a:solidFill>
          <a:miter lim="800000"/>
          <a:headEnd/>
          <a:tailEnd/>
        </a:ln>
      </xdr:spPr>
    </xdr:sp>
    <xdr:clientData/>
  </xdr:twoCellAnchor>
  <xdr:twoCellAnchor>
    <xdr:from>
      <xdr:col>19</xdr:col>
      <xdr:colOff>66675</xdr:colOff>
      <xdr:row>39</xdr:row>
      <xdr:rowOff>171450</xdr:rowOff>
    </xdr:from>
    <xdr:to>
      <xdr:col>22</xdr:col>
      <xdr:colOff>123825</xdr:colOff>
      <xdr:row>43</xdr:row>
      <xdr:rowOff>104775</xdr:rowOff>
    </xdr:to>
    <xdr:sp macro="" textlink="">
      <xdr:nvSpPr>
        <xdr:cNvPr id="193915" name="AutoShape 3"/>
        <xdr:cNvSpPr>
          <a:spLocks noChangeArrowheads="1"/>
        </xdr:cNvSpPr>
      </xdr:nvSpPr>
      <xdr:spPr bwMode="auto">
        <a:xfrm>
          <a:off x="3895725" y="8639175"/>
          <a:ext cx="657225" cy="923925"/>
        </a:xfrm>
        <a:prstGeom prst="rightArrow">
          <a:avLst>
            <a:gd name="adj1" fmla="val 49333"/>
            <a:gd name="adj2" fmla="val 57625"/>
          </a:avLst>
        </a:prstGeom>
        <a:gradFill rotWithShape="1">
          <a:gsLst>
            <a:gs pos="0">
              <a:srgbClr val="FFCBA9"/>
            </a:gs>
            <a:gs pos="50000">
              <a:srgbClr xmlns:mc="http://schemas.openxmlformats.org/markup-compatibility/2006" xmlns:a14="http://schemas.microsoft.com/office/drawing/2010/main" val="FF6600" mc:Ignorable="a14" a14:legacySpreadsheetColorIndex="53"/>
            </a:gs>
            <a:gs pos="100000">
              <a:srgbClr val="FFCBA9"/>
            </a:gs>
          </a:gsLst>
          <a:lin ang="5400000" scaled="1"/>
        </a:gradFill>
        <a:ln w="9525">
          <a:solidFill>
            <a:srgbClr xmlns:mc="http://schemas.openxmlformats.org/markup-compatibility/2006" xmlns:a14="http://schemas.microsoft.com/office/drawing/2010/main" val="808080" mc:Ignorable="a14" a14:legacySpreadsheetColorIndex="23"/>
          </a:solidFill>
          <a:miter lim="800000"/>
          <a:headEnd/>
          <a:tailEnd/>
        </a:ln>
      </xdr:spPr>
    </xdr:sp>
    <xdr:clientData/>
  </xdr:twoCellAnchor>
  <xdr:twoCellAnchor>
    <xdr:from>
      <xdr:col>1</xdr:col>
      <xdr:colOff>19050</xdr:colOff>
      <xdr:row>49</xdr:row>
      <xdr:rowOff>66675</xdr:rowOff>
    </xdr:from>
    <xdr:to>
      <xdr:col>44</xdr:col>
      <xdr:colOff>190500</xdr:colOff>
      <xdr:row>77</xdr:row>
      <xdr:rowOff>85725</xdr:rowOff>
    </xdr:to>
    <xdr:graphicFrame macro="">
      <xdr:nvGraphicFramePr>
        <xdr:cNvPr id="193916" name="グラフ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28</xdr:col>
      <xdr:colOff>149678</xdr:colOff>
      <xdr:row>39</xdr:row>
      <xdr:rowOff>231322</xdr:rowOff>
    </xdr:from>
    <xdr:to>
      <xdr:col>33</xdr:col>
      <xdr:colOff>176892</xdr:colOff>
      <xdr:row>41</xdr:row>
      <xdr:rowOff>180975</xdr:rowOff>
    </xdr:to>
    <xdr:sp macro="" textlink="">
      <xdr:nvSpPr>
        <xdr:cNvPr id="2" name="左矢印 1"/>
        <xdr:cNvSpPr/>
      </xdr:nvSpPr>
      <xdr:spPr>
        <a:xfrm>
          <a:off x="5742214" y="9225643"/>
          <a:ext cx="1047749" cy="657225"/>
        </a:xfrm>
        <a:prstGeom prst="leftArrow">
          <a:avLst>
            <a:gd name="adj1" fmla="val 76087"/>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chemeClr val="lt1"/>
              </a:solidFill>
              <a:effectLst/>
              <a:latin typeface="+mn-lt"/>
              <a:ea typeface="+mn-ea"/>
              <a:cs typeface="+mn-cs"/>
            </a:rPr>
            <a:t>利用</a:t>
          </a:r>
          <a:endParaRPr kumimoji="1" lang="en-US" altLang="ja-JP" sz="1100" b="1">
            <a:solidFill>
              <a:schemeClr val="lt1"/>
            </a:solidFill>
            <a:effectLst/>
            <a:latin typeface="+mn-lt"/>
            <a:ea typeface="+mn-ea"/>
            <a:cs typeface="+mn-cs"/>
          </a:endParaRPr>
        </a:p>
        <a:p>
          <a:pPr algn="ctr"/>
          <a:r>
            <a:rPr kumimoji="1" lang="ja-JP" altLang="en-US" sz="1100" b="1">
              <a:solidFill>
                <a:schemeClr val="lt1"/>
              </a:solidFill>
              <a:effectLst/>
              <a:latin typeface="+mn-lt"/>
              <a:ea typeface="+mn-ea"/>
              <a:cs typeface="+mn-cs"/>
            </a:rPr>
            <a:t>システム</a:t>
          </a:r>
          <a:endParaRPr kumimoji="1" lang="ja-JP" altLang="en-US"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495300</xdr:colOff>
      <xdr:row>13</xdr:row>
      <xdr:rowOff>161925</xdr:rowOff>
    </xdr:from>
    <xdr:to>
      <xdr:col>18</xdr:col>
      <xdr:colOff>95250</xdr:colOff>
      <xdr:row>68</xdr:row>
      <xdr:rowOff>38100</xdr:rowOff>
    </xdr:to>
    <xdr:graphicFrame macro="">
      <xdr:nvGraphicFramePr>
        <xdr:cNvPr id="178863"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457200</xdr:colOff>
      <xdr:row>69</xdr:row>
      <xdr:rowOff>66675</xdr:rowOff>
    </xdr:from>
    <xdr:to>
      <xdr:col>18</xdr:col>
      <xdr:colOff>95250</xdr:colOff>
      <xdr:row>99</xdr:row>
      <xdr:rowOff>152400</xdr:rowOff>
    </xdr:to>
    <xdr:graphicFrame macro="">
      <xdr:nvGraphicFramePr>
        <xdr:cNvPr id="178864" name="グラフ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809625</xdr:colOff>
      <xdr:row>136</xdr:row>
      <xdr:rowOff>0</xdr:rowOff>
    </xdr:from>
    <xdr:to>
      <xdr:col>18</xdr:col>
      <xdr:colOff>342900</xdr:colOff>
      <xdr:row>187</xdr:row>
      <xdr:rowOff>104775</xdr:rowOff>
    </xdr:to>
    <xdr:graphicFrame macro="">
      <xdr:nvGraphicFramePr>
        <xdr:cNvPr id="178865" name="グラフ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28575</xdr:colOff>
      <xdr:row>220</xdr:row>
      <xdr:rowOff>19050</xdr:rowOff>
    </xdr:from>
    <xdr:to>
      <xdr:col>18</xdr:col>
      <xdr:colOff>342900</xdr:colOff>
      <xdr:row>270</xdr:row>
      <xdr:rowOff>28575</xdr:rowOff>
    </xdr:to>
    <xdr:graphicFrame macro="">
      <xdr:nvGraphicFramePr>
        <xdr:cNvPr id="178866" name="グラフ 1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0</xdr:colOff>
      <xdr:row>303</xdr:row>
      <xdr:rowOff>123825</xdr:rowOff>
    </xdr:from>
    <xdr:to>
      <xdr:col>18</xdr:col>
      <xdr:colOff>314325</xdr:colOff>
      <xdr:row>353</xdr:row>
      <xdr:rowOff>161925</xdr:rowOff>
    </xdr:to>
    <xdr:graphicFrame macro="">
      <xdr:nvGraphicFramePr>
        <xdr:cNvPr id="178867" name="グラフ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904875</xdr:colOff>
      <xdr:row>388</xdr:row>
      <xdr:rowOff>85725</xdr:rowOff>
    </xdr:from>
    <xdr:to>
      <xdr:col>18</xdr:col>
      <xdr:colOff>333375</xdr:colOff>
      <xdr:row>439</xdr:row>
      <xdr:rowOff>19050</xdr:rowOff>
    </xdr:to>
    <xdr:graphicFrame macro="">
      <xdr:nvGraphicFramePr>
        <xdr:cNvPr id="178868" name="グラフ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933450</xdr:colOff>
          <xdr:row>9</xdr:row>
          <xdr:rowOff>47625</xdr:rowOff>
        </xdr:from>
        <xdr:to>
          <xdr:col>5</xdr:col>
          <xdr:colOff>952500</xdr:colOff>
          <xdr:row>11</xdr:row>
          <xdr:rowOff>133350</xdr:rowOff>
        </xdr:to>
        <xdr:sp macro="" textlink="">
          <xdr:nvSpPr>
            <xdr:cNvPr id="178192" name="copySimulationRateToMainRateBtn" hidden="1">
              <a:extLst>
                <a:ext uri="{63B3BB69-23CF-44E3-9099-C40C66FF867C}">
                  <a14:compatExt spid="_x0000_s1781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9</xdr:row>
          <xdr:rowOff>47625</xdr:rowOff>
        </xdr:from>
        <xdr:to>
          <xdr:col>21</xdr:col>
          <xdr:colOff>133350</xdr:colOff>
          <xdr:row>19</xdr:row>
          <xdr:rowOff>152400</xdr:rowOff>
        </xdr:to>
        <xdr:sp macro="" textlink="">
          <xdr:nvSpPr>
            <xdr:cNvPr id="178193" name="setMainEDIRate" hidden="1">
              <a:extLst>
                <a:ext uri="{63B3BB69-23CF-44E3-9099-C40C66FF867C}">
                  <a14:compatExt spid="_x0000_s178193"/>
                </a:ext>
              </a:extLst>
            </xdr:cNvPr>
            <xdr:cNvSpPr/>
          </xdr:nvSpPr>
          <xdr:spPr>
            <a:xfrm>
              <a:off x="0" y="0"/>
              <a:ext cx="0" cy="0"/>
            </a:xfrm>
            <a:prstGeom prst="rect">
              <a:avLst/>
            </a:prstGeom>
          </xdr:spPr>
        </xdr:sp>
        <xdr:clientData/>
      </xdr:twoCellAnchor>
    </mc:Choice>
    <mc:Fallback/>
  </mc:AlternateContent>
  <xdr:twoCellAnchor>
    <xdr:from>
      <xdr:col>10</xdr:col>
      <xdr:colOff>257175</xdr:colOff>
      <xdr:row>7</xdr:row>
      <xdr:rowOff>276225</xdr:rowOff>
    </xdr:from>
    <xdr:to>
      <xdr:col>17</xdr:col>
      <xdr:colOff>180975</xdr:colOff>
      <xdr:row>11</xdr:row>
      <xdr:rowOff>76200</xdr:rowOff>
    </xdr:to>
    <xdr:sp macro="" textlink="">
      <xdr:nvSpPr>
        <xdr:cNvPr id="178195" name="AutoShape 19"/>
        <xdr:cNvSpPr>
          <a:spLocks noChangeArrowheads="1"/>
        </xdr:cNvSpPr>
      </xdr:nvSpPr>
      <xdr:spPr bwMode="auto">
        <a:xfrm>
          <a:off x="9048750" y="1847850"/>
          <a:ext cx="6657975" cy="628650"/>
        </a:xfrm>
        <a:prstGeom prst="wedgeRoundRectCallout">
          <a:avLst>
            <a:gd name="adj1" fmla="val -57153"/>
            <a:gd name="adj2" fmla="val 18181"/>
            <a:gd name="adj3" fmla="val 16667"/>
          </a:avLst>
        </a:prstGeom>
        <a:solidFill>
          <a:srgbClr xmlns:mc="http://schemas.openxmlformats.org/markup-compatibility/2006" xmlns:a14="http://schemas.microsoft.com/office/drawing/2010/main" val="FFFF99" mc:Ignorable="a14" a14:legacySpreadsheetColorIndex="43"/>
        </a:solidFill>
        <a:ln w="9525">
          <a:solidFill>
            <a:srgbClr xmlns:mc="http://schemas.openxmlformats.org/markup-compatibility/2006" xmlns:a14="http://schemas.microsoft.com/office/drawing/2010/main" val="969696" mc:Ignorable="a14" a14:legacySpreadsheetColorIndex="55"/>
          </a:solidFill>
          <a:miter lim="800000"/>
          <a:headEnd/>
          <a:tailEnd/>
        </a:ln>
      </xdr:spPr>
      <xdr:txBody>
        <a:bodyPr vertOverflow="clip" wrap="square" lIns="36576" tIns="22860" rIns="0" bIns="0" anchor="t" upright="1"/>
        <a:lstStyle/>
        <a:p>
          <a:pPr algn="l" rtl="0">
            <a:lnSpc>
              <a:spcPts val="1600"/>
            </a:lnSpc>
            <a:defRPr sz="1000"/>
          </a:pPr>
          <a:r>
            <a:rPr lang="ja-JP" altLang="en-US" sz="1400" b="0" i="0" u="none" strike="noStrike" baseline="0">
              <a:solidFill>
                <a:srgbClr val="FF0000"/>
              </a:solidFill>
              <a:latin typeface="ＭＳ Ｐゴシック"/>
              <a:ea typeface="ＭＳ Ｐゴシック"/>
            </a:rPr>
            <a:t>※</a:t>
          </a:r>
          <a:r>
            <a:rPr lang="ja-JP" altLang="en-US" sz="1400" b="1" i="0" u="none" strike="noStrike" baseline="0">
              <a:solidFill>
                <a:srgbClr val="FF0000"/>
              </a:solidFill>
              <a:latin typeface="ＭＳ Ｐゴシック"/>
              <a:ea typeface="ＭＳ Ｐゴシック"/>
            </a:rPr>
            <a:t>『「目標電子化率」で再設定』ボタン</a:t>
          </a:r>
          <a:r>
            <a:rPr lang="ja-JP" altLang="en-US" sz="1400" b="0" i="0" u="none" strike="noStrike" baseline="0">
              <a:solidFill>
                <a:srgbClr val="FF0000"/>
              </a:solidFill>
              <a:latin typeface="ＭＳ Ｐゴシック"/>
              <a:ea typeface="ＭＳ Ｐゴシック"/>
            </a:rPr>
            <a:t>は、「目標電子化率」シートの目標年数や</a:t>
          </a:r>
        </a:p>
        <a:p>
          <a:pPr algn="l" rtl="0">
            <a:lnSpc>
              <a:spcPts val="1600"/>
            </a:lnSpc>
            <a:defRPr sz="1000"/>
          </a:pPr>
          <a:r>
            <a:rPr lang="ja-JP" altLang="en-US" sz="1400" b="0" i="0" u="none" strike="noStrike" baseline="0">
              <a:solidFill>
                <a:srgbClr val="FF0000"/>
              </a:solidFill>
              <a:latin typeface="ＭＳ Ｐゴシック"/>
              <a:ea typeface="ＭＳ Ｐゴシック"/>
            </a:rPr>
            <a:t>　電子化率を変更した場合は、必ずボタンを押してください。</a:t>
          </a:r>
          <a:endParaRPr lang="ja-JP" altLang="en-US"/>
        </a:p>
      </xdr:txBody>
    </xdr:sp>
    <xdr:clientData/>
  </xdr:twoCellAnchor>
  <xdr:twoCellAnchor>
    <xdr:from>
      <xdr:col>15</xdr:col>
      <xdr:colOff>361950</xdr:colOff>
      <xdr:row>108</xdr:row>
      <xdr:rowOff>247650</xdr:rowOff>
    </xdr:from>
    <xdr:to>
      <xdr:col>17</xdr:col>
      <xdr:colOff>9525</xdr:colOff>
      <xdr:row>111</xdr:row>
      <xdr:rowOff>228600</xdr:rowOff>
    </xdr:to>
    <xdr:sp macro="" textlink="">
      <xdr:nvSpPr>
        <xdr:cNvPr id="11" name="下矢印 10"/>
        <xdr:cNvSpPr/>
      </xdr:nvSpPr>
      <xdr:spPr>
        <a:xfrm>
          <a:off x="14097000" y="19450050"/>
          <a:ext cx="1590675" cy="781050"/>
        </a:xfrm>
        <a:prstGeom prst="downArrow">
          <a:avLst>
            <a:gd name="adj1" fmla="val 86229"/>
            <a:gd name="adj2" fmla="val 17742"/>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b="1">
              <a:solidFill>
                <a:schemeClr val="lt1"/>
              </a:solidFill>
              <a:effectLst/>
              <a:latin typeface="+mn-lt"/>
              <a:ea typeface="+mn-ea"/>
              <a:cs typeface="+mn-cs"/>
            </a:rPr>
            <a:t>利用</a:t>
          </a:r>
          <a:r>
            <a:rPr kumimoji="1" lang="ja-JP" altLang="en-US" sz="1100" b="1">
              <a:solidFill>
                <a:schemeClr val="lt1"/>
              </a:solidFill>
              <a:effectLst/>
              <a:latin typeface="+mn-lt"/>
              <a:ea typeface="+mn-ea"/>
              <a:cs typeface="+mn-cs"/>
            </a:rPr>
            <a:t>システム</a:t>
          </a:r>
          <a:r>
            <a:rPr kumimoji="1" lang="ja-JP" altLang="ja-JP" sz="1100" b="1">
              <a:solidFill>
                <a:schemeClr val="lt1"/>
              </a:solidFill>
              <a:effectLst/>
              <a:latin typeface="+mn-lt"/>
              <a:ea typeface="+mn-ea"/>
              <a:cs typeface="+mn-cs"/>
            </a:rPr>
            <a:t>は</a:t>
          </a:r>
          <a:endParaRPr lang="ja-JP" altLang="ja-JP" b="1">
            <a:effectLst/>
          </a:endParaRPr>
        </a:p>
        <a:p>
          <a:pPr algn="ctr"/>
          <a:r>
            <a:rPr kumimoji="1" lang="ja-JP" altLang="ja-JP" sz="1100" b="1">
              <a:solidFill>
                <a:schemeClr val="lt1"/>
              </a:solidFill>
              <a:effectLst/>
              <a:latin typeface="+mn-lt"/>
              <a:ea typeface="+mn-ea"/>
              <a:cs typeface="+mn-cs"/>
            </a:rPr>
            <a:t>下方です。</a:t>
          </a:r>
          <a:endParaRPr lang="ja-JP" altLang="ja-JP" b="1">
            <a:effectLst/>
          </a:endParaRPr>
        </a:p>
      </xdr:txBody>
    </xdr:sp>
    <xdr:clientData/>
  </xdr:twoCellAnchor>
  <xdr:twoCellAnchor>
    <xdr:from>
      <xdr:col>15</xdr:col>
      <xdr:colOff>533400</xdr:colOff>
      <xdr:row>191</xdr:row>
      <xdr:rowOff>0</xdr:rowOff>
    </xdr:from>
    <xdr:to>
      <xdr:col>16</xdr:col>
      <xdr:colOff>933449</xdr:colOff>
      <xdr:row>194</xdr:row>
      <xdr:rowOff>19050</xdr:rowOff>
    </xdr:to>
    <xdr:sp macro="" textlink="">
      <xdr:nvSpPr>
        <xdr:cNvPr id="12" name="左矢印 11"/>
        <xdr:cNvSpPr/>
      </xdr:nvSpPr>
      <xdr:spPr>
        <a:xfrm>
          <a:off x="14268450" y="36385500"/>
          <a:ext cx="1371599" cy="819150"/>
        </a:xfrm>
        <a:prstGeom prst="leftArrow">
          <a:avLst>
            <a:gd name="adj1" fmla="val 76087"/>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b="1">
              <a:solidFill>
                <a:schemeClr val="lt1"/>
              </a:solidFill>
              <a:effectLst/>
              <a:latin typeface="+mn-lt"/>
              <a:ea typeface="+mn-ea"/>
              <a:cs typeface="+mn-cs"/>
            </a:rPr>
            <a:t>利用</a:t>
          </a:r>
          <a:endParaRPr kumimoji="1" lang="en-US" altLang="ja-JP" sz="1400" b="1">
            <a:solidFill>
              <a:schemeClr val="lt1"/>
            </a:solidFill>
            <a:effectLst/>
            <a:latin typeface="+mn-lt"/>
            <a:ea typeface="+mn-ea"/>
            <a:cs typeface="+mn-cs"/>
          </a:endParaRPr>
        </a:p>
        <a:p>
          <a:pPr algn="ctr"/>
          <a:r>
            <a:rPr kumimoji="1" lang="ja-JP" altLang="en-US" sz="1400" b="1">
              <a:solidFill>
                <a:schemeClr val="lt1"/>
              </a:solidFill>
              <a:effectLst/>
              <a:latin typeface="+mn-lt"/>
              <a:ea typeface="+mn-ea"/>
              <a:cs typeface="+mn-cs"/>
            </a:rPr>
            <a:t>システム</a:t>
          </a:r>
          <a:endParaRPr kumimoji="1" lang="ja-JP" altLang="en-US" sz="14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73</xdr:row>
      <xdr:rowOff>180975</xdr:rowOff>
    </xdr:from>
    <xdr:to>
      <xdr:col>0</xdr:col>
      <xdr:colOff>0</xdr:colOff>
      <xdr:row>76</xdr:row>
      <xdr:rowOff>57150</xdr:rowOff>
    </xdr:to>
    <xdr:sp macro="" textlink="">
      <xdr:nvSpPr>
        <xdr:cNvPr id="188054" name="AutoShape 1025"/>
        <xdr:cNvSpPr>
          <a:spLocks noChangeArrowheads="1"/>
        </xdr:cNvSpPr>
      </xdr:nvSpPr>
      <xdr:spPr bwMode="auto">
        <a:xfrm>
          <a:off x="0" y="15001875"/>
          <a:ext cx="0" cy="476250"/>
        </a:xfrm>
        <a:prstGeom prst="rightArrow">
          <a:avLst>
            <a:gd name="adj1" fmla="val 33333"/>
            <a:gd name="adj2" fmla="val -2147483648"/>
          </a:avLst>
        </a:prstGeom>
        <a:solidFill>
          <a:srgbClr xmlns:mc="http://schemas.openxmlformats.org/markup-compatibility/2006" xmlns:a14="http://schemas.microsoft.com/office/drawing/2010/main" val="FF99CC" mc:Ignorable="a14" a14:legacySpreadsheetColorIndex="4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14</xdr:col>
      <xdr:colOff>9525</xdr:colOff>
      <xdr:row>17</xdr:row>
      <xdr:rowOff>180975</xdr:rowOff>
    </xdr:from>
    <xdr:to>
      <xdr:col>21</xdr:col>
      <xdr:colOff>228600</xdr:colOff>
      <xdr:row>19</xdr:row>
      <xdr:rowOff>28575</xdr:rowOff>
    </xdr:to>
    <xdr:sp macro="" textlink="">
      <xdr:nvSpPr>
        <xdr:cNvPr id="188055" name="AutoShape 1027"/>
        <xdr:cNvSpPr>
          <a:spLocks noChangeArrowheads="1"/>
        </xdr:cNvSpPr>
      </xdr:nvSpPr>
      <xdr:spPr bwMode="auto">
        <a:xfrm>
          <a:off x="4029075" y="3457575"/>
          <a:ext cx="2152650" cy="266700"/>
        </a:xfrm>
        <a:prstGeom prst="rightArrow">
          <a:avLst>
            <a:gd name="adj1" fmla="val 35481"/>
            <a:gd name="adj2" fmla="val 182579"/>
          </a:avLst>
        </a:prstGeom>
        <a:solidFill>
          <a:srgbClr xmlns:mc="http://schemas.openxmlformats.org/markup-compatibility/2006" xmlns:a14="http://schemas.microsoft.com/office/drawing/2010/main" val="FF9900" mc:Ignorable="a14" a14:legacySpreadsheetColorIndex="52"/>
        </a:solidFill>
        <a:ln w="6350">
          <a:solidFill>
            <a:srgbClr xmlns:mc="http://schemas.openxmlformats.org/markup-compatibility/2006" xmlns:a14="http://schemas.microsoft.com/office/drawing/2010/main" val="969696" mc:Ignorable="a14" a14:legacySpreadsheetColorIndex="55"/>
          </a:solidFill>
          <a:miter lim="800000"/>
          <a:headEnd/>
          <a:tailEnd/>
        </a:ln>
      </xdr:spPr>
    </xdr:sp>
    <xdr:clientData/>
  </xdr:twoCellAnchor>
  <xdr:twoCellAnchor>
    <xdr:from>
      <xdr:col>14</xdr:col>
      <xdr:colOff>9525</xdr:colOff>
      <xdr:row>49</xdr:row>
      <xdr:rowOff>180975</xdr:rowOff>
    </xdr:from>
    <xdr:to>
      <xdr:col>21</xdr:col>
      <xdr:colOff>228600</xdr:colOff>
      <xdr:row>51</xdr:row>
      <xdr:rowOff>0</xdr:rowOff>
    </xdr:to>
    <xdr:sp macro="" textlink="">
      <xdr:nvSpPr>
        <xdr:cNvPr id="188056" name="AutoShape 1029"/>
        <xdr:cNvSpPr>
          <a:spLocks noChangeArrowheads="1"/>
        </xdr:cNvSpPr>
      </xdr:nvSpPr>
      <xdr:spPr bwMode="auto">
        <a:xfrm>
          <a:off x="4029075" y="10163175"/>
          <a:ext cx="2152650" cy="238125"/>
        </a:xfrm>
        <a:prstGeom prst="rightArrow">
          <a:avLst>
            <a:gd name="adj1" fmla="val 35481"/>
            <a:gd name="adj2" fmla="val 204488"/>
          </a:avLst>
        </a:prstGeom>
        <a:solidFill>
          <a:srgbClr xmlns:mc="http://schemas.openxmlformats.org/markup-compatibility/2006" xmlns:a14="http://schemas.microsoft.com/office/drawing/2010/main" val="FF9900" mc:Ignorable="a14" a14:legacySpreadsheetColorIndex="52"/>
        </a:solidFill>
        <a:ln w="6350">
          <a:solidFill>
            <a:srgbClr xmlns:mc="http://schemas.openxmlformats.org/markup-compatibility/2006" xmlns:a14="http://schemas.microsoft.com/office/drawing/2010/main" val="969696" mc:Ignorable="a14" a14:legacySpreadsheetColorIndex="55"/>
          </a:solidFill>
          <a:miter lim="800000"/>
          <a:headEnd/>
          <a:tailEnd/>
        </a:ln>
      </xdr:spPr>
    </xdr:sp>
    <xdr:clientData/>
  </xdr:twoCellAnchor>
  <xdr:twoCellAnchor>
    <xdr:from>
      <xdr:col>14</xdr:col>
      <xdr:colOff>9525</xdr:colOff>
      <xdr:row>60</xdr:row>
      <xdr:rowOff>66675</xdr:rowOff>
    </xdr:from>
    <xdr:to>
      <xdr:col>21</xdr:col>
      <xdr:colOff>228600</xdr:colOff>
      <xdr:row>61</xdr:row>
      <xdr:rowOff>180975</xdr:rowOff>
    </xdr:to>
    <xdr:sp macro="" textlink="">
      <xdr:nvSpPr>
        <xdr:cNvPr id="188057" name="AutoShape 1030"/>
        <xdr:cNvSpPr>
          <a:spLocks noChangeArrowheads="1"/>
        </xdr:cNvSpPr>
      </xdr:nvSpPr>
      <xdr:spPr bwMode="auto">
        <a:xfrm>
          <a:off x="4029075" y="12353925"/>
          <a:ext cx="2152650" cy="323850"/>
        </a:xfrm>
        <a:prstGeom prst="rightArrow">
          <a:avLst>
            <a:gd name="adj1" fmla="val 35481"/>
            <a:gd name="adj2" fmla="val 150359"/>
          </a:avLst>
        </a:prstGeom>
        <a:solidFill>
          <a:srgbClr xmlns:mc="http://schemas.openxmlformats.org/markup-compatibility/2006" xmlns:a14="http://schemas.microsoft.com/office/drawing/2010/main" val="FF9900" mc:Ignorable="a14" a14:legacySpreadsheetColorIndex="52"/>
        </a:solidFill>
        <a:ln w="6350">
          <a:solidFill>
            <a:srgbClr xmlns:mc="http://schemas.openxmlformats.org/markup-compatibility/2006" xmlns:a14="http://schemas.microsoft.com/office/drawing/2010/main" val="969696" mc:Ignorable="a14" a14:legacySpreadsheetColorIndex="55"/>
          </a:solidFill>
          <a:miter lim="800000"/>
          <a:headEnd/>
          <a:tailEnd/>
        </a:ln>
      </xdr:spPr>
    </xdr:sp>
    <xdr:clientData/>
  </xdr:twoCellAnchor>
  <xdr:twoCellAnchor>
    <xdr:from>
      <xdr:col>14</xdr:col>
      <xdr:colOff>9525</xdr:colOff>
      <xdr:row>68</xdr:row>
      <xdr:rowOff>200025</xdr:rowOff>
    </xdr:from>
    <xdr:to>
      <xdr:col>21</xdr:col>
      <xdr:colOff>228600</xdr:colOff>
      <xdr:row>70</xdr:row>
      <xdr:rowOff>28575</xdr:rowOff>
    </xdr:to>
    <xdr:sp macro="" textlink="">
      <xdr:nvSpPr>
        <xdr:cNvPr id="188058" name="AutoShape 1031"/>
        <xdr:cNvSpPr>
          <a:spLocks noChangeArrowheads="1"/>
        </xdr:cNvSpPr>
      </xdr:nvSpPr>
      <xdr:spPr bwMode="auto">
        <a:xfrm>
          <a:off x="4029075" y="14144625"/>
          <a:ext cx="2152650" cy="247650"/>
        </a:xfrm>
        <a:prstGeom prst="rightArrow">
          <a:avLst>
            <a:gd name="adj1" fmla="val 35481"/>
            <a:gd name="adj2" fmla="val 196623"/>
          </a:avLst>
        </a:prstGeom>
        <a:solidFill>
          <a:srgbClr xmlns:mc="http://schemas.openxmlformats.org/markup-compatibility/2006" xmlns:a14="http://schemas.microsoft.com/office/drawing/2010/main" val="FF9900" mc:Ignorable="a14" a14:legacySpreadsheetColorIndex="52"/>
        </a:solidFill>
        <a:ln w="6350">
          <a:solidFill>
            <a:srgbClr xmlns:mc="http://schemas.openxmlformats.org/markup-compatibility/2006" xmlns:a14="http://schemas.microsoft.com/office/drawing/2010/main" val="969696" mc:Ignorable="a14" a14:legacySpreadsheetColorIndex="55"/>
          </a:solidFill>
          <a:miter lim="800000"/>
          <a:headEnd/>
          <a:tailEnd/>
        </a:ln>
      </xdr:spPr>
    </xdr:sp>
    <xdr:clientData/>
  </xdr:twoCellAnchor>
  <xdr:twoCellAnchor>
    <xdr:from>
      <xdr:col>14</xdr:col>
      <xdr:colOff>9525</xdr:colOff>
      <xdr:row>37</xdr:row>
      <xdr:rowOff>0</xdr:rowOff>
    </xdr:from>
    <xdr:to>
      <xdr:col>21</xdr:col>
      <xdr:colOff>228600</xdr:colOff>
      <xdr:row>38</xdr:row>
      <xdr:rowOff>9525</xdr:rowOff>
    </xdr:to>
    <xdr:sp macro="" textlink="">
      <xdr:nvSpPr>
        <xdr:cNvPr id="188059" name="AutoShape 1032"/>
        <xdr:cNvSpPr>
          <a:spLocks noChangeArrowheads="1"/>
        </xdr:cNvSpPr>
      </xdr:nvSpPr>
      <xdr:spPr bwMode="auto">
        <a:xfrm>
          <a:off x="4029075" y="7467600"/>
          <a:ext cx="2152650" cy="219075"/>
        </a:xfrm>
        <a:prstGeom prst="rightArrow">
          <a:avLst>
            <a:gd name="adj1" fmla="val 35481"/>
            <a:gd name="adj2" fmla="val 222270"/>
          </a:avLst>
        </a:prstGeom>
        <a:solidFill>
          <a:srgbClr xmlns:mc="http://schemas.openxmlformats.org/markup-compatibility/2006" xmlns:a14="http://schemas.microsoft.com/office/drawing/2010/main" val="FF9900" mc:Ignorable="a14" a14:legacySpreadsheetColorIndex="52"/>
        </a:solidFill>
        <a:ln w="6350">
          <a:solidFill>
            <a:srgbClr xmlns:mc="http://schemas.openxmlformats.org/markup-compatibility/2006" xmlns:a14="http://schemas.microsoft.com/office/drawing/2010/main" val="969696" mc:Ignorable="a14" a14:legacySpreadsheetColorIndex="55"/>
          </a:solidFill>
          <a:miter lim="800000"/>
          <a:headEnd/>
          <a:tailEnd/>
        </a:ln>
      </xdr:spPr>
    </xdr:sp>
    <xdr:clientData/>
  </xdr:twoCellAnchor>
  <xdr:twoCellAnchor>
    <xdr:from>
      <xdr:col>14</xdr:col>
      <xdr:colOff>9525</xdr:colOff>
      <xdr:row>26</xdr:row>
      <xdr:rowOff>180975</xdr:rowOff>
    </xdr:from>
    <xdr:to>
      <xdr:col>21</xdr:col>
      <xdr:colOff>228600</xdr:colOff>
      <xdr:row>28</xdr:row>
      <xdr:rowOff>28575</xdr:rowOff>
    </xdr:to>
    <xdr:sp macro="" textlink="">
      <xdr:nvSpPr>
        <xdr:cNvPr id="188060" name="AutoShape 1034"/>
        <xdr:cNvSpPr>
          <a:spLocks noChangeArrowheads="1"/>
        </xdr:cNvSpPr>
      </xdr:nvSpPr>
      <xdr:spPr bwMode="auto">
        <a:xfrm>
          <a:off x="4029075" y="5343525"/>
          <a:ext cx="2152650" cy="266700"/>
        </a:xfrm>
        <a:prstGeom prst="rightArrow">
          <a:avLst>
            <a:gd name="adj1" fmla="val 35481"/>
            <a:gd name="adj2" fmla="val 182579"/>
          </a:avLst>
        </a:prstGeom>
        <a:solidFill>
          <a:srgbClr xmlns:mc="http://schemas.openxmlformats.org/markup-compatibility/2006" xmlns:a14="http://schemas.microsoft.com/office/drawing/2010/main" val="FF9900" mc:Ignorable="a14" a14:legacySpreadsheetColorIndex="52"/>
        </a:solidFill>
        <a:ln w="6350">
          <a:solidFill>
            <a:srgbClr xmlns:mc="http://schemas.openxmlformats.org/markup-compatibility/2006" xmlns:a14="http://schemas.microsoft.com/office/drawing/2010/main" val="969696" mc:Ignorable="a14" a14:legacySpreadsheetColorIndex="55"/>
          </a:solidFill>
          <a:miter lim="800000"/>
          <a:headEnd/>
          <a:tailEnd/>
        </a:ln>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6.bin"/><Relationship Id="rId5" Type="http://schemas.openxmlformats.org/officeDocument/2006/relationships/image" Target="../media/image1.emf"/><Relationship Id="rId4" Type="http://schemas.openxmlformats.org/officeDocument/2006/relationships/control" Target="../activeX/activeX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image" Target="../media/image3.emf"/><Relationship Id="rId2" Type="http://schemas.openxmlformats.org/officeDocument/2006/relationships/drawing" Target="../drawings/drawing8.xml"/><Relationship Id="rId1" Type="http://schemas.openxmlformats.org/officeDocument/2006/relationships/printerSettings" Target="../printerSettings/printerSettings10.bin"/><Relationship Id="rId6" Type="http://schemas.openxmlformats.org/officeDocument/2006/relationships/control" Target="../activeX/activeX3.xml"/><Relationship Id="rId5" Type="http://schemas.openxmlformats.org/officeDocument/2006/relationships/image" Target="../media/image2.emf"/><Relationship Id="rId4" Type="http://schemas.openxmlformats.org/officeDocument/2006/relationships/control" Target="../activeX/activeX2.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autoPageBreaks="0"/>
  </sheetPr>
  <dimension ref="A1:Y75"/>
  <sheetViews>
    <sheetView showGridLines="0" tabSelected="1" zoomScale="75" zoomScaleNormal="85" zoomScaleSheetLayoutView="75" workbookViewId="0">
      <selection activeCell="J1" sqref="J1"/>
    </sheetView>
  </sheetViews>
  <sheetFormatPr defaultColWidth="3.625" defaultRowHeight="13.5"/>
  <sheetData>
    <row r="1" spans="2:25">
      <c r="X1" s="82"/>
      <c r="Y1" s="82"/>
    </row>
    <row r="2" spans="2:25">
      <c r="X2" s="82"/>
      <c r="Y2" s="82"/>
    </row>
    <row r="3" spans="2:25" ht="13.5" customHeight="1">
      <c r="D3" s="643" t="s">
        <v>246</v>
      </c>
      <c r="E3" s="643"/>
      <c r="F3" s="643"/>
      <c r="G3" s="643"/>
      <c r="H3" s="643"/>
      <c r="I3" s="643"/>
      <c r="J3" s="643"/>
      <c r="K3" s="643"/>
      <c r="L3" s="643"/>
      <c r="M3" s="643"/>
      <c r="N3" s="643"/>
      <c r="O3" s="643"/>
      <c r="P3" s="643"/>
      <c r="Q3" s="643"/>
      <c r="R3" s="643"/>
      <c r="S3" s="643"/>
      <c r="T3" s="643"/>
      <c r="U3" s="643"/>
      <c r="X3" s="82"/>
      <c r="Y3" s="82"/>
    </row>
    <row r="4" spans="2:25" ht="13.5" customHeight="1">
      <c r="D4" s="643"/>
      <c r="E4" s="643"/>
      <c r="F4" s="643"/>
      <c r="G4" s="643"/>
      <c r="H4" s="643"/>
      <c r="I4" s="643"/>
      <c r="J4" s="643"/>
      <c r="K4" s="643"/>
      <c r="L4" s="643"/>
      <c r="M4" s="643"/>
      <c r="N4" s="643"/>
      <c r="O4" s="643"/>
      <c r="P4" s="643"/>
      <c r="Q4" s="643"/>
      <c r="R4" s="643"/>
      <c r="S4" s="643"/>
      <c r="T4" s="643"/>
      <c r="U4" s="643"/>
      <c r="X4" s="82"/>
      <c r="Y4" s="82"/>
    </row>
    <row r="5" spans="2:25" ht="13.5" customHeight="1">
      <c r="D5" s="643"/>
      <c r="E5" s="643"/>
      <c r="F5" s="643"/>
      <c r="G5" s="643"/>
      <c r="H5" s="643"/>
      <c r="I5" s="643"/>
      <c r="J5" s="643"/>
      <c r="K5" s="643"/>
      <c r="L5" s="643"/>
      <c r="M5" s="643"/>
      <c r="N5" s="643"/>
      <c r="O5" s="643"/>
      <c r="P5" s="643"/>
      <c r="Q5" s="643"/>
      <c r="R5" s="643"/>
      <c r="S5" s="643"/>
      <c r="T5" s="643"/>
      <c r="U5" s="643"/>
      <c r="X5" s="82"/>
      <c r="Y5" s="82"/>
    </row>
    <row r="6" spans="2:25">
      <c r="D6" s="643"/>
      <c r="E6" s="643"/>
      <c r="F6" s="643"/>
      <c r="G6" s="643"/>
      <c r="H6" s="643"/>
      <c r="I6" s="643"/>
      <c r="J6" s="643"/>
      <c r="K6" s="643"/>
      <c r="L6" s="643"/>
      <c r="M6" s="643"/>
      <c r="N6" s="643"/>
      <c r="O6" s="643"/>
      <c r="P6" s="643"/>
      <c r="Q6" s="643"/>
      <c r="R6" s="643"/>
      <c r="S6" s="643"/>
      <c r="T6" s="643"/>
      <c r="U6" s="643"/>
      <c r="X6" s="82"/>
      <c r="Y6" s="82"/>
    </row>
    <row r="7" spans="2:25">
      <c r="X7" s="82"/>
      <c r="Y7" s="82"/>
    </row>
    <row r="8" spans="2:25" ht="17.25">
      <c r="B8" s="365" t="s">
        <v>836</v>
      </c>
      <c r="X8" s="82"/>
      <c r="Y8" s="82"/>
    </row>
    <row r="9" spans="2:25" s="582" customFormat="1">
      <c r="C9" s="583"/>
      <c r="D9" s="582" t="s">
        <v>838</v>
      </c>
      <c r="X9" s="584"/>
      <c r="Y9" s="584"/>
    </row>
    <row r="10" spans="2:25" s="582" customFormat="1">
      <c r="C10" s="589"/>
      <c r="D10" s="582" t="s">
        <v>844</v>
      </c>
      <c r="X10" s="584"/>
      <c r="Y10" s="584"/>
    </row>
    <row r="11" spans="2:25" s="582" customFormat="1">
      <c r="C11" s="585"/>
      <c r="D11" s="582" t="s">
        <v>837</v>
      </c>
      <c r="X11" s="584"/>
      <c r="Y11" s="584"/>
    </row>
    <row r="12" spans="2:25" s="582" customFormat="1">
      <c r="C12" s="586" t="s">
        <v>839</v>
      </c>
      <c r="X12" s="584"/>
      <c r="Y12" s="584"/>
    </row>
    <row r="13" spans="2:25" ht="17.25" customHeight="1">
      <c r="C13" s="365"/>
      <c r="X13" s="82"/>
      <c r="Y13" s="82"/>
    </row>
    <row r="14" spans="2:25" ht="17.25">
      <c r="B14" s="365" t="s">
        <v>247</v>
      </c>
      <c r="X14" s="82"/>
      <c r="Y14" s="82"/>
    </row>
    <row r="15" spans="2:25" ht="17.25">
      <c r="C15" s="433" t="s">
        <v>655</v>
      </c>
      <c r="X15" s="82"/>
      <c r="Y15" s="82"/>
    </row>
    <row r="16" spans="2:25" ht="17.25" customHeight="1">
      <c r="C16" s="365"/>
      <c r="D16" s="642" t="s">
        <v>258</v>
      </c>
      <c r="E16" s="642"/>
      <c r="F16" s="642"/>
      <c r="G16" s="642"/>
      <c r="H16" s="642"/>
      <c r="I16" s="642"/>
      <c r="J16" s="642"/>
      <c r="K16" s="642"/>
      <c r="L16" s="642"/>
      <c r="M16" s="642"/>
      <c r="N16" s="642"/>
      <c r="O16" s="642"/>
      <c r="P16" s="642"/>
      <c r="Q16" s="642"/>
      <c r="R16" s="642"/>
      <c r="S16" s="642"/>
      <c r="T16" s="642"/>
      <c r="U16" s="642"/>
      <c r="V16" s="642"/>
      <c r="W16" s="642"/>
      <c r="X16" s="82"/>
      <c r="Y16" s="82"/>
    </row>
    <row r="17" spans="3:25" ht="17.25">
      <c r="C17" s="365"/>
      <c r="D17" s="642"/>
      <c r="E17" s="642"/>
      <c r="F17" s="642"/>
      <c r="G17" s="642"/>
      <c r="H17" s="642"/>
      <c r="I17" s="642"/>
      <c r="J17" s="642"/>
      <c r="K17" s="642"/>
      <c r="L17" s="642"/>
      <c r="M17" s="642"/>
      <c r="N17" s="642"/>
      <c r="O17" s="642"/>
      <c r="P17" s="642"/>
      <c r="Q17" s="642"/>
      <c r="R17" s="642"/>
      <c r="S17" s="642"/>
      <c r="T17" s="642"/>
      <c r="U17" s="642"/>
      <c r="V17" s="642"/>
      <c r="W17" s="642"/>
      <c r="X17" s="82"/>
      <c r="Y17" s="82"/>
    </row>
    <row r="18" spans="3:25" ht="17.25">
      <c r="C18" s="433" t="s">
        <v>248</v>
      </c>
      <c r="X18" s="82"/>
      <c r="Y18" s="82"/>
    </row>
    <row r="19" spans="3:25" ht="17.25" customHeight="1">
      <c r="C19" s="433"/>
      <c r="D19" s="642" t="s">
        <v>259</v>
      </c>
      <c r="E19" s="642"/>
      <c r="F19" s="642"/>
      <c r="G19" s="642"/>
      <c r="H19" s="642"/>
      <c r="I19" s="642"/>
      <c r="J19" s="642"/>
      <c r="K19" s="642"/>
      <c r="L19" s="642"/>
      <c r="M19" s="642"/>
      <c r="N19" s="642"/>
      <c r="O19" s="642"/>
      <c r="P19" s="642"/>
      <c r="Q19" s="642"/>
      <c r="R19" s="642"/>
      <c r="S19" s="642"/>
      <c r="T19" s="642"/>
      <c r="U19" s="642"/>
      <c r="V19" s="642"/>
      <c r="W19" s="642"/>
      <c r="X19" s="82"/>
      <c r="Y19" s="82"/>
    </row>
    <row r="20" spans="3:25" ht="17.25">
      <c r="C20" s="365"/>
      <c r="D20" s="642"/>
      <c r="E20" s="642"/>
      <c r="F20" s="642"/>
      <c r="G20" s="642"/>
      <c r="H20" s="642"/>
      <c r="I20" s="642"/>
      <c r="J20" s="642"/>
      <c r="K20" s="642"/>
      <c r="L20" s="642"/>
      <c r="M20" s="642"/>
      <c r="N20" s="642"/>
      <c r="O20" s="642"/>
      <c r="P20" s="642"/>
      <c r="Q20" s="642"/>
      <c r="R20" s="642"/>
      <c r="S20" s="642"/>
      <c r="T20" s="642"/>
      <c r="U20" s="642"/>
      <c r="V20" s="642"/>
      <c r="W20" s="642"/>
      <c r="X20" s="82"/>
      <c r="Y20" s="82"/>
    </row>
    <row r="21" spans="3:25" ht="17.25">
      <c r="C21" s="433" t="s">
        <v>249</v>
      </c>
      <c r="X21" s="82"/>
      <c r="Y21" s="82"/>
    </row>
    <row r="22" spans="3:25" ht="17.25" customHeight="1">
      <c r="C22" s="433"/>
      <c r="D22" s="642" t="s">
        <v>260</v>
      </c>
      <c r="E22" s="642"/>
      <c r="F22" s="642"/>
      <c r="G22" s="642"/>
      <c r="H22" s="642"/>
      <c r="I22" s="642"/>
      <c r="J22" s="642"/>
      <c r="K22" s="642"/>
      <c r="L22" s="642"/>
      <c r="M22" s="642"/>
      <c r="N22" s="642"/>
      <c r="O22" s="642"/>
      <c r="P22" s="642"/>
      <c r="Q22" s="642"/>
      <c r="R22" s="642"/>
      <c r="S22" s="642"/>
      <c r="T22" s="642"/>
      <c r="U22" s="642"/>
      <c r="V22" s="642"/>
      <c r="W22" s="642"/>
      <c r="X22" s="82"/>
      <c r="Y22" s="82"/>
    </row>
    <row r="23" spans="3:25" ht="17.25">
      <c r="C23" s="365"/>
      <c r="D23" s="642"/>
      <c r="E23" s="642"/>
      <c r="F23" s="642"/>
      <c r="G23" s="642"/>
      <c r="H23" s="642"/>
      <c r="I23" s="642"/>
      <c r="J23" s="642"/>
      <c r="K23" s="642"/>
      <c r="L23" s="642"/>
      <c r="M23" s="642"/>
      <c r="N23" s="642"/>
      <c r="O23" s="642"/>
      <c r="P23" s="642"/>
      <c r="Q23" s="642"/>
      <c r="R23" s="642"/>
      <c r="S23" s="642"/>
      <c r="T23" s="642"/>
      <c r="U23" s="642"/>
      <c r="V23" s="642"/>
      <c r="W23" s="642"/>
      <c r="X23" s="82"/>
      <c r="Y23" s="82"/>
    </row>
    <row r="24" spans="3:25" ht="17.25">
      <c r="C24" s="433" t="s">
        <v>250</v>
      </c>
      <c r="X24" s="82"/>
      <c r="Y24" s="82"/>
    </row>
    <row r="25" spans="3:25" ht="17.25" customHeight="1">
      <c r="C25" s="433"/>
      <c r="D25" s="642" t="s">
        <v>261</v>
      </c>
      <c r="E25" s="642"/>
      <c r="F25" s="642"/>
      <c r="G25" s="642"/>
      <c r="H25" s="642"/>
      <c r="I25" s="642"/>
      <c r="J25" s="642"/>
      <c r="K25" s="642"/>
      <c r="L25" s="642"/>
      <c r="M25" s="642"/>
      <c r="N25" s="642"/>
      <c r="O25" s="642"/>
      <c r="P25" s="642"/>
      <c r="Q25" s="642"/>
      <c r="R25" s="642"/>
      <c r="S25" s="642"/>
      <c r="T25" s="642"/>
      <c r="U25" s="642"/>
      <c r="V25" s="642"/>
      <c r="W25" s="642"/>
      <c r="X25" s="82"/>
      <c r="Y25" s="82"/>
    </row>
    <row r="26" spans="3:25" ht="17.25">
      <c r="C26" s="365"/>
      <c r="D26" s="642"/>
      <c r="E26" s="642"/>
      <c r="F26" s="642"/>
      <c r="G26" s="642"/>
      <c r="H26" s="642"/>
      <c r="I26" s="642"/>
      <c r="J26" s="642"/>
      <c r="K26" s="642"/>
      <c r="L26" s="642"/>
      <c r="M26" s="642"/>
      <c r="N26" s="642"/>
      <c r="O26" s="642"/>
      <c r="P26" s="642"/>
      <c r="Q26" s="642"/>
      <c r="R26" s="642"/>
      <c r="S26" s="642"/>
      <c r="T26" s="642"/>
      <c r="U26" s="642"/>
      <c r="V26" s="642"/>
      <c r="W26" s="642"/>
      <c r="X26" s="82"/>
      <c r="Y26" s="82"/>
    </row>
    <row r="27" spans="3:25" ht="17.25">
      <c r="C27" s="433" t="s">
        <v>726</v>
      </c>
      <c r="X27" s="82"/>
      <c r="Y27" s="82"/>
    </row>
    <row r="28" spans="3:25" ht="13.5" customHeight="1">
      <c r="C28" s="433"/>
      <c r="D28" s="642" t="s">
        <v>262</v>
      </c>
      <c r="E28" s="642"/>
      <c r="F28" s="642"/>
      <c r="G28" s="642"/>
      <c r="H28" s="642"/>
      <c r="I28" s="642"/>
      <c r="J28" s="642"/>
      <c r="K28" s="642"/>
      <c r="L28" s="642"/>
      <c r="M28" s="642"/>
      <c r="N28" s="642"/>
      <c r="O28" s="642"/>
      <c r="P28" s="642"/>
      <c r="Q28" s="642"/>
      <c r="R28" s="642"/>
      <c r="S28" s="642"/>
      <c r="T28" s="642"/>
      <c r="U28" s="642"/>
      <c r="V28" s="642"/>
      <c r="W28" s="642"/>
      <c r="X28" s="82"/>
      <c r="Y28" s="82"/>
    </row>
    <row r="29" spans="3:25" ht="17.25">
      <c r="C29" s="365"/>
      <c r="D29" s="642"/>
      <c r="E29" s="642"/>
      <c r="F29" s="642"/>
      <c r="G29" s="642"/>
      <c r="H29" s="642"/>
      <c r="I29" s="642"/>
      <c r="J29" s="642"/>
      <c r="K29" s="642"/>
      <c r="L29" s="642"/>
      <c r="M29" s="642"/>
      <c r="N29" s="642"/>
      <c r="O29" s="642"/>
      <c r="P29" s="642"/>
      <c r="Q29" s="642"/>
      <c r="R29" s="642"/>
      <c r="S29" s="642"/>
      <c r="T29" s="642"/>
      <c r="U29" s="642"/>
      <c r="V29" s="642"/>
      <c r="W29" s="642"/>
      <c r="X29" s="82"/>
      <c r="Y29" s="82"/>
    </row>
    <row r="30" spans="3:25" ht="17.25">
      <c r="C30" s="433" t="s">
        <v>251</v>
      </c>
      <c r="X30" s="82"/>
      <c r="Y30" s="82"/>
    </row>
    <row r="31" spans="3:25" ht="17.25" customHeight="1">
      <c r="C31" s="433"/>
      <c r="D31" s="642" t="s">
        <v>263</v>
      </c>
      <c r="E31" s="642"/>
      <c r="F31" s="642"/>
      <c r="G31" s="642"/>
      <c r="H31" s="642"/>
      <c r="I31" s="642"/>
      <c r="J31" s="642"/>
      <c r="K31" s="642"/>
      <c r="L31" s="642"/>
      <c r="M31" s="642"/>
      <c r="N31" s="642"/>
      <c r="O31" s="642"/>
      <c r="P31" s="642"/>
      <c r="Q31" s="642"/>
      <c r="R31" s="642"/>
      <c r="S31" s="642"/>
      <c r="T31" s="642"/>
      <c r="U31" s="642"/>
      <c r="V31" s="642"/>
      <c r="W31" s="642"/>
      <c r="X31" s="82"/>
      <c r="Y31" s="82"/>
    </row>
    <row r="32" spans="3:25" ht="17.25">
      <c r="C32" s="433"/>
      <c r="D32" s="642"/>
      <c r="E32" s="642"/>
      <c r="F32" s="642"/>
      <c r="G32" s="642"/>
      <c r="H32" s="642"/>
      <c r="I32" s="642"/>
      <c r="J32" s="642"/>
      <c r="K32" s="642"/>
      <c r="L32" s="642"/>
      <c r="M32" s="642"/>
      <c r="N32" s="642"/>
      <c r="O32" s="642"/>
      <c r="P32" s="642"/>
      <c r="Q32" s="642"/>
      <c r="R32" s="642"/>
      <c r="S32" s="642"/>
      <c r="T32" s="642"/>
      <c r="U32" s="642"/>
      <c r="V32" s="642"/>
      <c r="W32" s="642"/>
      <c r="X32" s="82"/>
      <c r="Y32" s="82"/>
    </row>
    <row r="33" spans="3:25" ht="17.25">
      <c r="C33" s="365"/>
      <c r="D33" s="642"/>
      <c r="E33" s="642"/>
      <c r="F33" s="642"/>
      <c r="G33" s="642"/>
      <c r="H33" s="642"/>
      <c r="I33" s="642"/>
      <c r="J33" s="642"/>
      <c r="K33" s="642"/>
      <c r="L33" s="642"/>
      <c r="M33" s="642"/>
      <c r="N33" s="642"/>
      <c r="O33" s="642"/>
      <c r="P33" s="642"/>
      <c r="Q33" s="642"/>
      <c r="R33" s="642"/>
      <c r="S33" s="642"/>
      <c r="T33" s="642"/>
      <c r="U33" s="642"/>
      <c r="V33" s="642"/>
      <c r="W33" s="642"/>
      <c r="X33" s="82"/>
      <c r="Y33" s="82"/>
    </row>
    <row r="34" spans="3:25" ht="17.25">
      <c r="C34" s="433" t="s">
        <v>254</v>
      </c>
      <c r="X34" s="82"/>
      <c r="Y34" s="82"/>
    </row>
    <row r="35" spans="3:25" ht="17.25" customHeight="1">
      <c r="C35" s="433"/>
      <c r="D35" s="642" t="s">
        <v>264</v>
      </c>
      <c r="E35" s="642"/>
      <c r="F35" s="642"/>
      <c r="G35" s="642"/>
      <c r="H35" s="642"/>
      <c r="I35" s="642"/>
      <c r="J35" s="642"/>
      <c r="K35" s="642"/>
      <c r="L35" s="642"/>
      <c r="M35" s="642"/>
      <c r="N35" s="642"/>
      <c r="O35" s="642"/>
      <c r="P35" s="642"/>
      <c r="Q35" s="642"/>
      <c r="R35" s="642"/>
      <c r="S35" s="642"/>
      <c r="T35" s="642"/>
      <c r="U35" s="642"/>
      <c r="V35" s="642"/>
      <c r="W35" s="642"/>
      <c r="X35" s="82"/>
      <c r="Y35" s="82"/>
    </row>
    <row r="36" spans="3:25" ht="17.25">
      <c r="C36" s="433"/>
      <c r="D36" s="642"/>
      <c r="E36" s="642"/>
      <c r="F36" s="642"/>
      <c r="G36" s="642"/>
      <c r="H36" s="642"/>
      <c r="I36" s="642"/>
      <c r="J36" s="642"/>
      <c r="K36" s="642"/>
      <c r="L36" s="642"/>
      <c r="M36" s="642"/>
      <c r="N36" s="642"/>
      <c r="O36" s="642"/>
      <c r="P36" s="642"/>
      <c r="Q36" s="642"/>
      <c r="R36" s="642"/>
      <c r="S36" s="642"/>
      <c r="T36" s="642"/>
      <c r="U36" s="642"/>
      <c r="V36" s="642"/>
      <c r="W36" s="642"/>
      <c r="X36" s="82"/>
      <c r="Y36" s="82"/>
    </row>
    <row r="37" spans="3:25" ht="17.25">
      <c r="C37" s="365"/>
      <c r="D37" s="642"/>
      <c r="E37" s="642"/>
      <c r="F37" s="642"/>
      <c r="G37" s="642"/>
      <c r="H37" s="642"/>
      <c r="I37" s="642"/>
      <c r="J37" s="642"/>
      <c r="K37" s="642"/>
      <c r="L37" s="642"/>
      <c r="M37" s="642"/>
      <c r="N37" s="642"/>
      <c r="O37" s="642"/>
      <c r="P37" s="642"/>
      <c r="Q37" s="642"/>
      <c r="R37" s="642"/>
      <c r="S37" s="642"/>
      <c r="T37" s="642"/>
      <c r="U37" s="642"/>
      <c r="V37" s="642"/>
      <c r="W37" s="642"/>
      <c r="X37" s="82"/>
      <c r="Y37" s="82"/>
    </row>
    <row r="38" spans="3:25" ht="17.25">
      <c r="C38" s="433" t="s">
        <v>252</v>
      </c>
      <c r="X38" s="82"/>
      <c r="Y38" s="82"/>
    </row>
    <row r="39" spans="3:25" ht="17.25" customHeight="1">
      <c r="C39" s="433"/>
      <c r="D39" s="642" t="s">
        <v>268</v>
      </c>
      <c r="E39" s="642"/>
      <c r="F39" s="642"/>
      <c r="G39" s="642"/>
      <c r="H39" s="642"/>
      <c r="I39" s="642"/>
      <c r="J39" s="642"/>
      <c r="K39" s="642"/>
      <c r="L39" s="642"/>
      <c r="M39" s="642"/>
      <c r="N39" s="642"/>
      <c r="O39" s="642"/>
      <c r="P39" s="642"/>
      <c r="Q39" s="642"/>
      <c r="R39" s="642"/>
      <c r="S39" s="642"/>
      <c r="T39" s="642"/>
      <c r="U39" s="642"/>
      <c r="V39" s="642"/>
      <c r="W39" s="642"/>
      <c r="X39" s="82"/>
      <c r="Y39" s="82"/>
    </row>
    <row r="40" spans="3:25" ht="17.25">
      <c r="C40" s="365"/>
      <c r="D40" s="642"/>
      <c r="E40" s="642"/>
      <c r="F40" s="642"/>
      <c r="G40" s="642"/>
      <c r="H40" s="642"/>
      <c r="I40" s="642"/>
      <c r="J40" s="642"/>
      <c r="K40" s="642"/>
      <c r="L40" s="642"/>
      <c r="M40" s="642"/>
      <c r="N40" s="642"/>
      <c r="O40" s="642"/>
      <c r="P40" s="642"/>
      <c r="Q40" s="642"/>
      <c r="R40" s="642"/>
      <c r="S40" s="642"/>
      <c r="T40" s="642"/>
      <c r="U40" s="642"/>
      <c r="V40" s="642"/>
      <c r="W40" s="642"/>
      <c r="X40" s="82"/>
      <c r="Y40" s="82"/>
    </row>
    <row r="41" spans="3:25" ht="17.25">
      <c r="C41" s="433" t="s">
        <v>253</v>
      </c>
      <c r="X41" s="82"/>
      <c r="Y41" s="82"/>
    </row>
    <row r="42" spans="3:25" ht="17.25" customHeight="1">
      <c r="C42" s="433"/>
      <c r="D42" s="642" t="s">
        <v>265</v>
      </c>
      <c r="E42" s="642"/>
      <c r="F42" s="642"/>
      <c r="G42" s="642"/>
      <c r="H42" s="642"/>
      <c r="I42" s="642"/>
      <c r="J42" s="642"/>
      <c r="K42" s="642"/>
      <c r="L42" s="642"/>
      <c r="M42" s="642"/>
      <c r="N42" s="642"/>
      <c r="O42" s="642"/>
      <c r="P42" s="642"/>
      <c r="Q42" s="642"/>
      <c r="R42" s="642"/>
      <c r="S42" s="642"/>
      <c r="T42" s="642"/>
      <c r="U42" s="642"/>
      <c r="V42" s="642"/>
      <c r="W42" s="642"/>
      <c r="X42" s="82"/>
      <c r="Y42" s="82"/>
    </row>
    <row r="43" spans="3:25" ht="17.25">
      <c r="C43" s="365"/>
      <c r="D43" s="642"/>
      <c r="E43" s="642"/>
      <c r="F43" s="642"/>
      <c r="G43" s="642"/>
      <c r="H43" s="642"/>
      <c r="I43" s="642"/>
      <c r="J43" s="642"/>
      <c r="K43" s="642"/>
      <c r="L43" s="642"/>
      <c r="M43" s="642"/>
      <c r="N43" s="642"/>
      <c r="O43" s="642"/>
      <c r="P43" s="642"/>
      <c r="Q43" s="642"/>
      <c r="R43" s="642"/>
      <c r="S43" s="642"/>
      <c r="T43" s="642"/>
      <c r="U43" s="642"/>
      <c r="V43" s="642"/>
      <c r="W43" s="642"/>
      <c r="X43" s="82"/>
      <c r="Y43" s="82"/>
    </row>
    <row r="44" spans="3:25" ht="17.25">
      <c r="C44" s="433" t="s">
        <v>255</v>
      </c>
      <c r="X44" s="82"/>
      <c r="Y44" s="82"/>
    </row>
    <row r="45" spans="3:25" ht="17.25" customHeight="1">
      <c r="C45" s="433"/>
      <c r="D45" s="642" t="s">
        <v>266</v>
      </c>
      <c r="E45" s="642"/>
      <c r="F45" s="642"/>
      <c r="G45" s="642"/>
      <c r="H45" s="642"/>
      <c r="I45" s="642"/>
      <c r="J45" s="642"/>
      <c r="K45" s="642"/>
      <c r="L45" s="642"/>
      <c r="M45" s="642"/>
      <c r="N45" s="642"/>
      <c r="O45" s="642"/>
      <c r="P45" s="642"/>
      <c r="Q45" s="642"/>
      <c r="R45" s="642"/>
      <c r="S45" s="642"/>
      <c r="T45" s="642"/>
      <c r="U45" s="642"/>
      <c r="V45" s="642"/>
      <c r="W45" s="642"/>
      <c r="X45" s="82"/>
      <c r="Y45" s="82"/>
    </row>
    <row r="46" spans="3:25" ht="17.25">
      <c r="C46" s="365"/>
      <c r="D46" s="642"/>
      <c r="E46" s="642"/>
      <c r="F46" s="642"/>
      <c r="G46" s="642"/>
      <c r="H46" s="642"/>
      <c r="I46" s="642"/>
      <c r="J46" s="642"/>
      <c r="K46" s="642"/>
      <c r="L46" s="642"/>
      <c r="M46" s="642"/>
      <c r="N46" s="642"/>
      <c r="O46" s="642"/>
      <c r="P46" s="642"/>
      <c r="Q46" s="642"/>
      <c r="R46" s="642"/>
      <c r="S46" s="642"/>
      <c r="T46" s="642"/>
      <c r="U46" s="642"/>
      <c r="V46" s="642"/>
      <c r="W46" s="642"/>
      <c r="X46" s="82"/>
      <c r="Y46" s="82"/>
    </row>
    <row r="47" spans="3:25" ht="17.25">
      <c r="C47" s="433" t="s">
        <v>256</v>
      </c>
      <c r="X47" s="82"/>
      <c r="Y47" s="82"/>
    </row>
    <row r="48" spans="3:25" ht="17.25" customHeight="1">
      <c r="C48" s="433"/>
      <c r="D48" s="642" t="s">
        <v>267</v>
      </c>
      <c r="E48" s="642"/>
      <c r="F48" s="642"/>
      <c r="G48" s="642"/>
      <c r="H48" s="642"/>
      <c r="I48" s="642"/>
      <c r="J48" s="642"/>
      <c r="K48" s="642"/>
      <c r="L48" s="642"/>
      <c r="M48" s="642"/>
      <c r="N48" s="642"/>
      <c r="O48" s="642"/>
      <c r="P48" s="642"/>
      <c r="Q48" s="642"/>
      <c r="R48" s="642"/>
      <c r="S48" s="642"/>
      <c r="T48" s="642"/>
      <c r="U48" s="642"/>
      <c r="V48" s="642"/>
      <c r="W48" s="642"/>
      <c r="X48" s="82"/>
      <c r="Y48" s="82"/>
    </row>
    <row r="49" spans="1:25" ht="17.25">
      <c r="C49" s="365"/>
      <c r="D49" s="642"/>
      <c r="E49" s="642"/>
      <c r="F49" s="642"/>
      <c r="G49" s="642"/>
      <c r="H49" s="642"/>
      <c r="I49" s="642"/>
      <c r="J49" s="642"/>
      <c r="K49" s="642"/>
      <c r="L49" s="642"/>
      <c r="M49" s="642"/>
      <c r="N49" s="642"/>
      <c r="O49" s="642"/>
      <c r="P49" s="642"/>
      <c r="Q49" s="642"/>
      <c r="R49" s="642"/>
      <c r="S49" s="642"/>
      <c r="T49" s="642"/>
      <c r="U49" s="642"/>
      <c r="V49" s="642"/>
      <c r="W49" s="642"/>
      <c r="X49" s="82"/>
      <c r="Y49" s="82"/>
    </row>
    <row r="50" spans="1:25" ht="17.25">
      <c r="C50" s="433" t="s">
        <v>257</v>
      </c>
      <c r="X50" s="82"/>
      <c r="Y50" s="82"/>
    </row>
    <row r="51" spans="1:25" ht="13.5" customHeight="1">
      <c r="D51" s="204" t="s">
        <v>840</v>
      </c>
      <c r="E51" s="205"/>
      <c r="F51" s="205"/>
      <c r="G51" s="205"/>
      <c r="H51" s="205"/>
      <c r="I51" s="205"/>
      <c r="J51" s="205"/>
      <c r="K51" s="205"/>
      <c r="L51" s="205"/>
      <c r="M51" s="205"/>
      <c r="N51" s="205"/>
      <c r="O51" s="205"/>
      <c r="P51" s="205"/>
      <c r="Q51" s="205"/>
      <c r="R51" s="205"/>
      <c r="S51" s="205"/>
      <c r="T51" s="205"/>
      <c r="U51" s="205"/>
      <c r="V51" s="205"/>
      <c r="W51" s="205"/>
      <c r="X51" s="82"/>
      <c r="Y51" s="82"/>
    </row>
    <row r="52" spans="1:25">
      <c r="D52" s="205"/>
      <c r="E52" s="205"/>
      <c r="F52" s="205"/>
      <c r="G52" s="205"/>
      <c r="H52" s="205"/>
      <c r="I52" s="205"/>
      <c r="J52" s="205"/>
      <c r="K52" s="205"/>
      <c r="L52" s="205"/>
      <c r="M52" s="205"/>
      <c r="N52" s="205"/>
      <c r="O52" s="205"/>
      <c r="P52" s="205"/>
      <c r="Q52" s="205"/>
      <c r="R52" s="205"/>
      <c r="S52" s="205"/>
      <c r="T52" s="205"/>
      <c r="U52" s="205"/>
      <c r="V52" s="205"/>
      <c r="W52" s="205"/>
      <c r="X52" s="82"/>
      <c r="Y52" s="82"/>
    </row>
    <row r="53" spans="1:25">
      <c r="X53" s="82"/>
      <c r="Y53" s="82"/>
    </row>
    <row r="54" spans="1:25">
      <c r="X54" s="82"/>
      <c r="Y54" s="82"/>
    </row>
    <row r="55" spans="1:25">
      <c r="A55" s="82"/>
      <c r="B55" s="82"/>
      <c r="C55" s="82"/>
      <c r="D55" s="82"/>
      <c r="E55" s="82"/>
      <c r="F55" s="82"/>
      <c r="G55" s="82"/>
      <c r="H55" s="82"/>
      <c r="I55" s="82"/>
      <c r="J55" s="82"/>
      <c r="K55" s="82"/>
      <c r="L55" s="82"/>
      <c r="M55" s="82"/>
      <c r="N55" s="82"/>
      <c r="O55" s="82"/>
      <c r="P55" s="82"/>
      <c r="Q55" s="82"/>
      <c r="R55" s="82"/>
      <c r="S55" s="82"/>
      <c r="T55" s="82"/>
      <c r="U55" s="82"/>
      <c r="V55" s="82"/>
      <c r="W55" s="82"/>
      <c r="X55" s="82"/>
      <c r="Y55" s="82"/>
    </row>
    <row r="56" spans="1:25">
      <c r="A56" s="82"/>
      <c r="B56" s="82"/>
      <c r="C56" s="82"/>
      <c r="D56" s="82"/>
      <c r="E56" s="82"/>
      <c r="F56" s="82"/>
      <c r="G56" s="82"/>
      <c r="H56" s="82"/>
      <c r="I56" s="82"/>
      <c r="J56" s="82"/>
      <c r="K56" s="82"/>
      <c r="L56" s="82"/>
      <c r="M56" s="82"/>
      <c r="N56" s="82"/>
      <c r="O56" s="82"/>
      <c r="P56" s="82"/>
      <c r="Q56" s="82"/>
      <c r="R56" s="82"/>
      <c r="S56" s="82"/>
      <c r="T56" s="82"/>
      <c r="U56" s="82"/>
      <c r="V56" s="82"/>
      <c r="W56" s="82"/>
      <c r="X56" s="82"/>
    </row>
    <row r="57" spans="1:25">
      <c r="A57" s="82"/>
      <c r="B57" s="82"/>
      <c r="C57" s="82"/>
      <c r="D57" s="82"/>
      <c r="E57" s="82"/>
      <c r="F57" s="82"/>
      <c r="G57" s="82"/>
      <c r="H57" s="82"/>
      <c r="I57" s="82"/>
      <c r="J57" s="82"/>
      <c r="K57" s="82"/>
      <c r="L57" s="82"/>
      <c r="M57" s="82"/>
      <c r="N57" s="82"/>
      <c r="O57" s="82"/>
      <c r="P57" s="82"/>
      <c r="Q57" s="82"/>
      <c r="R57" s="82"/>
      <c r="S57" s="82"/>
      <c r="T57" s="82"/>
      <c r="U57" s="82"/>
      <c r="V57" s="82"/>
      <c r="W57" s="82"/>
      <c r="X57" s="82"/>
    </row>
    <row r="58" spans="1:25">
      <c r="A58" s="82"/>
      <c r="B58" s="82"/>
      <c r="C58" s="82"/>
      <c r="D58" s="82"/>
      <c r="E58" s="82"/>
      <c r="F58" s="82"/>
      <c r="G58" s="82"/>
      <c r="H58" s="82"/>
      <c r="I58" s="82"/>
      <c r="J58" s="82"/>
      <c r="K58" s="82"/>
      <c r="L58" s="82"/>
      <c r="M58" s="82"/>
      <c r="N58" s="82"/>
      <c r="O58" s="82"/>
      <c r="P58" s="82"/>
      <c r="Q58" s="82"/>
      <c r="R58" s="82"/>
      <c r="S58" s="82"/>
      <c r="T58" s="82"/>
      <c r="U58" s="82"/>
      <c r="V58" s="82"/>
      <c r="W58" s="82"/>
      <c r="X58" s="82"/>
    </row>
    <row r="59" spans="1:25">
      <c r="A59" s="82"/>
      <c r="B59" s="82"/>
      <c r="C59" s="82"/>
      <c r="D59" s="82"/>
      <c r="E59" s="82"/>
      <c r="F59" s="82"/>
      <c r="G59" s="82"/>
      <c r="H59" s="82"/>
      <c r="I59" s="82"/>
      <c r="J59" s="82"/>
      <c r="K59" s="82"/>
      <c r="L59" s="82"/>
      <c r="M59" s="82"/>
      <c r="N59" s="82"/>
      <c r="O59" s="82"/>
      <c r="P59" s="82"/>
      <c r="Q59" s="82"/>
      <c r="R59" s="82"/>
      <c r="S59" s="82"/>
      <c r="T59" s="82"/>
      <c r="U59" s="82"/>
      <c r="V59" s="82"/>
      <c r="W59" s="82"/>
      <c r="X59" s="82"/>
    </row>
    <row r="60" spans="1:25">
      <c r="A60" s="82"/>
      <c r="B60" s="82"/>
      <c r="C60" s="82"/>
      <c r="D60" s="82"/>
      <c r="E60" s="82"/>
      <c r="F60" s="82"/>
      <c r="G60" s="82"/>
      <c r="H60" s="82"/>
      <c r="I60" s="82"/>
      <c r="J60" s="82"/>
      <c r="K60" s="82"/>
      <c r="L60" s="82"/>
      <c r="M60" s="82"/>
      <c r="N60" s="82"/>
      <c r="O60" s="82"/>
      <c r="P60" s="82"/>
      <c r="Q60" s="82"/>
      <c r="R60" s="82"/>
      <c r="S60" s="82"/>
      <c r="T60" s="82"/>
      <c r="U60" s="82"/>
      <c r="V60" s="82"/>
      <c r="W60" s="82"/>
      <c r="X60" s="82"/>
    </row>
    <row r="61" spans="1:25">
      <c r="A61" s="82"/>
      <c r="B61" s="82"/>
      <c r="C61" s="82"/>
      <c r="D61" s="82"/>
      <c r="E61" s="82"/>
      <c r="F61" s="82"/>
      <c r="G61" s="82"/>
      <c r="H61" s="82"/>
      <c r="I61" s="82"/>
      <c r="J61" s="82"/>
      <c r="K61" s="82"/>
      <c r="L61" s="82"/>
      <c r="M61" s="82"/>
      <c r="N61" s="82"/>
      <c r="O61" s="82"/>
      <c r="P61" s="82"/>
      <c r="Q61" s="82"/>
      <c r="R61" s="82"/>
      <c r="S61" s="82"/>
      <c r="T61" s="82"/>
      <c r="U61" s="82"/>
      <c r="V61" s="82"/>
      <c r="W61" s="82"/>
      <c r="X61" s="82"/>
    </row>
    <row r="62" spans="1:25">
      <c r="A62" s="82"/>
      <c r="B62" s="82"/>
      <c r="C62" s="82"/>
      <c r="D62" s="82"/>
      <c r="E62" s="82"/>
      <c r="F62" s="82"/>
      <c r="G62" s="82"/>
      <c r="H62" s="82"/>
      <c r="I62" s="82"/>
      <c r="J62" s="82"/>
      <c r="K62" s="82"/>
      <c r="L62" s="82"/>
      <c r="M62" s="82"/>
      <c r="N62" s="82"/>
      <c r="O62" s="82"/>
      <c r="P62" s="82"/>
      <c r="Q62" s="82"/>
      <c r="R62" s="82"/>
      <c r="S62" s="82"/>
      <c r="T62" s="82"/>
      <c r="U62" s="82"/>
      <c r="V62" s="82"/>
      <c r="W62" s="82"/>
      <c r="X62" s="82"/>
    </row>
    <row r="63" spans="1:25">
      <c r="A63" s="82"/>
      <c r="B63" s="82"/>
      <c r="C63" s="82"/>
      <c r="D63" s="82"/>
      <c r="E63" s="82"/>
      <c r="F63" s="82"/>
      <c r="G63" s="82"/>
      <c r="H63" s="82"/>
      <c r="I63" s="82"/>
      <c r="J63" s="82"/>
      <c r="K63" s="82"/>
      <c r="L63" s="82"/>
      <c r="M63" s="82"/>
      <c r="N63" s="82"/>
      <c r="O63" s="82"/>
      <c r="P63" s="82"/>
      <c r="Q63" s="82"/>
      <c r="R63" s="82"/>
      <c r="S63" s="82"/>
      <c r="T63" s="82"/>
      <c r="U63" s="82"/>
      <c r="V63" s="82"/>
      <c r="W63" s="82"/>
      <c r="X63" s="82"/>
    </row>
    <row r="64" spans="1:25">
      <c r="A64" s="82"/>
      <c r="B64" s="82"/>
      <c r="C64" s="82"/>
      <c r="D64" s="82"/>
      <c r="E64" s="82"/>
      <c r="F64" s="82"/>
      <c r="G64" s="82"/>
      <c r="H64" s="82"/>
      <c r="I64" s="82"/>
      <c r="J64" s="82"/>
      <c r="K64" s="82"/>
      <c r="L64" s="82"/>
      <c r="M64" s="82"/>
      <c r="N64" s="82"/>
      <c r="O64" s="82"/>
      <c r="P64" s="82"/>
      <c r="Q64" s="82"/>
      <c r="R64" s="82"/>
      <c r="S64" s="82"/>
      <c r="T64" s="82"/>
      <c r="U64" s="82"/>
      <c r="V64" s="82"/>
      <c r="W64" s="82"/>
      <c r="X64" s="82"/>
    </row>
    <row r="65" spans="1:24">
      <c r="A65" s="82"/>
      <c r="B65" s="82"/>
      <c r="C65" s="82"/>
      <c r="D65" s="82"/>
      <c r="E65" s="82"/>
      <c r="F65" s="82"/>
      <c r="G65" s="82"/>
      <c r="H65" s="82"/>
      <c r="I65" s="82"/>
      <c r="J65" s="82"/>
      <c r="K65" s="82"/>
      <c r="L65" s="82"/>
      <c r="M65" s="82"/>
      <c r="N65" s="82"/>
      <c r="O65" s="82"/>
      <c r="P65" s="82"/>
      <c r="Q65" s="82"/>
      <c r="R65" s="82"/>
      <c r="S65" s="82"/>
      <c r="T65" s="82"/>
      <c r="U65" s="82"/>
      <c r="V65" s="82"/>
      <c r="W65" s="82"/>
      <c r="X65" s="82"/>
    </row>
    <row r="66" spans="1:24">
      <c r="A66" s="82"/>
      <c r="B66" s="82"/>
      <c r="C66" s="82"/>
      <c r="D66" s="82"/>
      <c r="E66" s="82"/>
      <c r="F66" s="82"/>
      <c r="G66" s="82"/>
      <c r="H66" s="82"/>
      <c r="I66" s="82"/>
      <c r="J66" s="82"/>
      <c r="K66" s="82"/>
      <c r="L66" s="82"/>
      <c r="M66" s="82"/>
      <c r="N66" s="82"/>
      <c r="O66" s="82"/>
      <c r="P66" s="82"/>
      <c r="Q66" s="82"/>
      <c r="R66" s="82"/>
      <c r="S66" s="82"/>
      <c r="T66" s="82"/>
      <c r="U66" s="82"/>
      <c r="V66" s="82"/>
      <c r="W66" s="82"/>
      <c r="X66" s="82"/>
    </row>
    <row r="67" spans="1:24">
      <c r="A67" s="82"/>
      <c r="B67" s="82"/>
      <c r="C67" s="82"/>
      <c r="D67" s="82"/>
      <c r="E67" s="82"/>
      <c r="F67" s="82"/>
      <c r="G67" s="82"/>
      <c r="H67" s="82"/>
      <c r="I67" s="82"/>
      <c r="J67" s="82"/>
      <c r="K67" s="82"/>
      <c r="L67" s="82"/>
      <c r="M67" s="82"/>
      <c r="N67" s="82"/>
      <c r="O67" s="82"/>
      <c r="P67" s="82"/>
      <c r="Q67" s="82"/>
      <c r="R67" s="82"/>
      <c r="S67" s="82"/>
      <c r="T67" s="82"/>
      <c r="U67" s="82"/>
      <c r="V67" s="82"/>
      <c r="W67" s="82"/>
      <c r="X67" s="82"/>
    </row>
    <row r="68" spans="1:24">
      <c r="A68" s="82"/>
      <c r="B68" s="82"/>
      <c r="C68" s="82"/>
      <c r="D68" s="82"/>
      <c r="E68" s="82"/>
      <c r="F68" s="82"/>
      <c r="G68" s="82"/>
      <c r="H68" s="82"/>
      <c r="I68" s="82"/>
      <c r="J68" s="82"/>
      <c r="K68" s="82"/>
      <c r="L68" s="82"/>
      <c r="M68" s="82"/>
      <c r="N68" s="82"/>
      <c r="O68" s="82"/>
      <c r="P68" s="82"/>
      <c r="Q68" s="82"/>
      <c r="R68" s="82"/>
      <c r="S68" s="82"/>
      <c r="T68" s="82"/>
      <c r="U68" s="82"/>
      <c r="V68" s="82"/>
      <c r="W68" s="82"/>
      <c r="X68" s="82"/>
    </row>
    <row r="69" spans="1:24">
      <c r="A69" s="82"/>
      <c r="B69" s="82"/>
      <c r="C69" s="82"/>
      <c r="D69" s="82"/>
      <c r="E69" s="82"/>
      <c r="F69" s="82"/>
      <c r="G69" s="82"/>
      <c r="H69" s="82"/>
      <c r="I69" s="82"/>
      <c r="J69" s="82"/>
      <c r="K69" s="82"/>
      <c r="L69" s="82"/>
      <c r="M69" s="82"/>
      <c r="N69" s="82"/>
      <c r="O69" s="82"/>
      <c r="P69" s="82"/>
      <c r="Q69" s="82"/>
      <c r="R69" s="82"/>
      <c r="S69" s="82"/>
      <c r="T69" s="82"/>
      <c r="U69" s="82"/>
      <c r="V69" s="82"/>
      <c r="W69" s="82"/>
      <c r="X69" s="82"/>
    </row>
    <row r="70" spans="1:24">
      <c r="A70" s="82"/>
      <c r="B70" s="82"/>
      <c r="C70" s="82"/>
      <c r="D70" s="82"/>
      <c r="E70" s="82"/>
      <c r="F70" s="82"/>
      <c r="G70" s="82"/>
      <c r="H70" s="82"/>
      <c r="I70" s="82"/>
      <c r="J70" s="82"/>
      <c r="K70" s="82"/>
      <c r="L70" s="82"/>
      <c r="M70" s="82"/>
      <c r="N70" s="82"/>
      <c r="O70" s="82"/>
      <c r="P70" s="82"/>
      <c r="Q70" s="82"/>
      <c r="R70" s="82"/>
      <c r="S70" s="82"/>
      <c r="T70" s="82"/>
      <c r="U70" s="82"/>
      <c r="V70" s="82"/>
      <c r="W70" s="82"/>
      <c r="X70" s="82"/>
    </row>
    <row r="71" spans="1:24">
      <c r="A71" s="82"/>
      <c r="B71" s="82"/>
      <c r="C71" s="82"/>
      <c r="D71" s="82"/>
      <c r="E71" s="82"/>
      <c r="F71" s="82"/>
      <c r="G71" s="82"/>
      <c r="H71" s="82"/>
      <c r="I71" s="82"/>
      <c r="J71" s="82"/>
      <c r="K71" s="82"/>
      <c r="L71" s="82"/>
      <c r="M71" s="82"/>
      <c r="N71" s="82"/>
      <c r="O71" s="82"/>
      <c r="P71" s="82"/>
      <c r="Q71" s="82"/>
      <c r="R71" s="82"/>
      <c r="S71" s="82"/>
      <c r="T71" s="82"/>
      <c r="U71" s="82"/>
      <c r="V71" s="82"/>
      <c r="W71" s="82"/>
      <c r="X71" s="82"/>
    </row>
    <row r="72" spans="1:24">
      <c r="A72" s="82"/>
      <c r="B72" s="82"/>
      <c r="C72" s="82"/>
      <c r="D72" s="82"/>
      <c r="E72" s="82"/>
      <c r="F72" s="82"/>
      <c r="G72" s="82"/>
      <c r="H72" s="82"/>
      <c r="I72" s="82"/>
      <c r="J72" s="82"/>
      <c r="K72" s="82"/>
      <c r="L72" s="82"/>
      <c r="M72" s="82"/>
      <c r="N72" s="82"/>
      <c r="O72" s="82"/>
      <c r="P72" s="82"/>
      <c r="Q72" s="82"/>
      <c r="R72" s="82"/>
      <c r="S72" s="82"/>
      <c r="T72" s="82"/>
      <c r="U72" s="82"/>
      <c r="V72" s="82"/>
      <c r="W72" s="82"/>
      <c r="X72" s="82"/>
    </row>
    <row r="73" spans="1:24">
      <c r="A73" s="82"/>
      <c r="B73" s="82"/>
      <c r="C73" s="82"/>
      <c r="D73" s="82"/>
      <c r="E73" s="82"/>
      <c r="F73" s="82"/>
      <c r="G73" s="82"/>
      <c r="H73" s="82"/>
      <c r="I73" s="82"/>
      <c r="J73" s="82"/>
      <c r="K73" s="82"/>
      <c r="L73" s="82"/>
      <c r="M73" s="82"/>
      <c r="N73" s="82"/>
      <c r="O73" s="82"/>
      <c r="P73" s="82"/>
      <c r="Q73" s="82"/>
      <c r="R73" s="82"/>
      <c r="S73" s="82"/>
      <c r="T73" s="82"/>
      <c r="U73" s="82"/>
      <c r="V73" s="82"/>
      <c r="W73" s="82"/>
      <c r="X73" s="82"/>
    </row>
    <row r="74" spans="1:24">
      <c r="A74" s="82"/>
      <c r="B74" s="82"/>
      <c r="C74" s="82"/>
      <c r="D74" s="82"/>
      <c r="E74" s="82"/>
      <c r="F74" s="82"/>
      <c r="G74" s="82"/>
      <c r="H74" s="82"/>
      <c r="I74" s="82"/>
      <c r="J74" s="82"/>
      <c r="K74" s="82"/>
      <c r="L74" s="82"/>
      <c r="M74" s="82"/>
      <c r="N74" s="82"/>
      <c r="O74" s="82"/>
      <c r="P74" s="82"/>
      <c r="Q74" s="82"/>
      <c r="R74" s="82"/>
      <c r="S74" s="82"/>
      <c r="T74" s="82"/>
      <c r="U74" s="82"/>
      <c r="V74" s="82"/>
      <c r="W74" s="82"/>
      <c r="X74" s="82"/>
    </row>
    <row r="75" spans="1:24">
      <c r="A75" s="82"/>
      <c r="B75" s="82"/>
      <c r="C75" s="82"/>
      <c r="D75" s="82"/>
      <c r="E75" s="82"/>
      <c r="F75" s="82"/>
      <c r="G75" s="82"/>
      <c r="H75" s="82"/>
      <c r="I75" s="82"/>
      <c r="J75" s="82"/>
      <c r="K75" s="82"/>
      <c r="L75" s="82"/>
      <c r="M75" s="82"/>
      <c r="N75" s="82"/>
      <c r="O75" s="82"/>
      <c r="P75" s="82"/>
      <c r="Q75" s="82"/>
      <c r="R75" s="82"/>
      <c r="S75" s="82"/>
      <c r="T75" s="82"/>
      <c r="U75" s="82"/>
      <c r="V75" s="82"/>
      <c r="W75" s="82"/>
      <c r="X75" s="82"/>
    </row>
  </sheetData>
  <sheetProtection password="CF68" sheet="1" objects="1" scenarios="1"/>
  <mergeCells count="12">
    <mergeCell ref="D28:W29"/>
    <mergeCell ref="D3:U6"/>
    <mergeCell ref="D25:W26"/>
    <mergeCell ref="D22:W23"/>
    <mergeCell ref="D19:W20"/>
    <mergeCell ref="D16:W17"/>
    <mergeCell ref="D48:W49"/>
    <mergeCell ref="D45:W46"/>
    <mergeCell ref="D42:W43"/>
    <mergeCell ref="D39:W40"/>
    <mergeCell ref="D35:W37"/>
    <mergeCell ref="D31:W33"/>
  </mergeCells>
  <phoneticPr fontId="2"/>
  <pageMargins left="0.59055118110236227" right="0.59055118110236227" top="0.78740157480314965" bottom="0.78740157480314965" header="0.51181102362204722" footer="0.51181102362204722"/>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enableFormatConditionsCalculation="0">
    <tabColor indexed="18"/>
    <pageSetUpPr fitToPage="1"/>
  </sheetPr>
  <dimension ref="B1:AL44"/>
  <sheetViews>
    <sheetView showGridLines="0" zoomScaleNormal="100" workbookViewId="0">
      <selection activeCell="Z28" sqref="Z28"/>
    </sheetView>
  </sheetViews>
  <sheetFormatPr defaultColWidth="2.75" defaultRowHeight="13.5"/>
  <cols>
    <col min="1" max="1" width="0.25" customWidth="1"/>
    <col min="2" max="36" width="2.75" customWidth="1"/>
    <col min="37" max="40" width="2.875" customWidth="1"/>
  </cols>
  <sheetData>
    <row r="1" spans="2:38" s="50" customFormat="1" ht="17.25">
      <c r="B1" s="128" t="s">
        <v>496</v>
      </c>
    </row>
    <row r="2" spans="2:38" s="50" customFormat="1" ht="18.75">
      <c r="B2" s="674" t="s">
        <v>566</v>
      </c>
      <c r="C2" s="674"/>
      <c r="D2" s="674"/>
      <c r="E2" s="674"/>
      <c r="F2" s="674"/>
      <c r="G2" s="674"/>
      <c r="H2" s="674"/>
      <c r="I2" s="674"/>
      <c r="J2" s="674"/>
      <c r="K2" s="674"/>
      <c r="L2" s="674"/>
      <c r="M2" s="674"/>
      <c r="N2" s="674"/>
      <c r="O2" s="674"/>
      <c r="P2" s="674"/>
      <c r="Q2" s="674"/>
      <c r="R2" s="674"/>
      <c r="S2" s="674"/>
      <c r="T2" s="674"/>
      <c r="U2" s="674"/>
      <c r="V2" s="674"/>
      <c r="W2" s="674"/>
      <c r="X2" s="674"/>
      <c r="Y2" s="674"/>
      <c r="Z2" s="674"/>
      <c r="AA2" s="674"/>
      <c r="AB2" s="674"/>
      <c r="AC2" s="674"/>
      <c r="AD2" s="674"/>
      <c r="AE2" s="674"/>
      <c r="AF2" s="674"/>
      <c r="AG2" s="674"/>
      <c r="AH2" s="674"/>
      <c r="AI2" s="674"/>
      <c r="AJ2" s="674"/>
      <c r="AK2" s="674"/>
      <c r="AL2" s="674"/>
    </row>
    <row r="3" spans="2:38" ht="14.25" thickBot="1"/>
    <row r="4" spans="2:38" ht="19.5" customHeight="1" thickTop="1" thickBot="1">
      <c r="B4" s="778" t="s">
        <v>655</v>
      </c>
      <c r="C4" s="779"/>
      <c r="D4" s="779"/>
      <c r="E4" s="780"/>
      <c r="F4" s="735" t="s">
        <v>530</v>
      </c>
      <c r="G4" s="736"/>
      <c r="H4" s="736"/>
      <c r="I4" s="736"/>
      <c r="J4" s="737">
        <v>3000</v>
      </c>
      <c r="K4" s="738"/>
      <c r="L4" s="738"/>
      <c r="M4" s="739"/>
      <c r="N4" s="727" t="s">
        <v>531</v>
      </c>
      <c r="O4" s="727"/>
      <c r="P4" s="727"/>
      <c r="Q4" s="754">
        <f>J4/60</f>
        <v>50</v>
      </c>
      <c r="R4" s="755"/>
      <c r="S4" s="755"/>
      <c r="T4" s="756"/>
      <c r="U4" s="727" t="s">
        <v>532</v>
      </c>
      <c r="V4" s="727"/>
      <c r="W4" s="728"/>
      <c r="X4" s="2" t="s">
        <v>533</v>
      </c>
      <c r="Y4" s="3"/>
      <c r="Z4" s="3"/>
      <c r="AA4" s="3"/>
      <c r="AB4" s="3"/>
      <c r="AC4" s="3"/>
      <c r="AD4" s="3"/>
      <c r="AE4" s="3"/>
      <c r="AF4" s="3"/>
      <c r="AG4" s="3"/>
      <c r="AH4" s="3"/>
      <c r="AI4" s="3"/>
      <c r="AJ4" s="3"/>
      <c r="AK4" s="3"/>
      <c r="AL4" s="4"/>
    </row>
    <row r="5" spans="2:38" ht="19.5" customHeight="1" thickBot="1">
      <c r="B5" s="781"/>
      <c r="C5" s="782"/>
      <c r="D5" s="782"/>
      <c r="E5" s="783"/>
      <c r="F5" s="793" t="s">
        <v>488</v>
      </c>
      <c r="G5" s="794"/>
      <c r="H5" s="794"/>
      <c r="I5" s="794"/>
      <c r="J5" s="798">
        <v>8</v>
      </c>
      <c r="K5" s="799"/>
      <c r="L5" s="799"/>
      <c r="M5" s="800"/>
      <c r="N5" s="727" t="s">
        <v>366</v>
      </c>
      <c r="O5" s="727"/>
      <c r="P5" s="728"/>
      <c r="Q5" s="533"/>
      <c r="R5" s="534"/>
      <c r="S5" s="534"/>
      <c r="T5" s="534"/>
      <c r="U5" s="331"/>
      <c r="V5" s="331"/>
      <c r="W5" s="331"/>
      <c r="X5" s="333"/>
      <c r="Y5" s="3"/>
      <c r="Z5" s="3"/>
      <c r="AA5" s="3"/>
      <c r="AB5" s="3"/>
      <c r="AC5" s="3"/>
      <c r="AD5" s="3"/>
      <c r="AE5" s="3"/>
      <c r="AF5" s="3"/>
      <c r="AG5" s="3"/>
      <c r="AH5" s="3"/>
      <c r="AI5" s="3"/>
      <c r="AJ5" s="3"/>
      <c r="AK5" s="3"/>
      <c r="AL5" s="4"/>
    </row>
    <row r="6" spans="2:38" ht="19.5" customHeight="1" thickBot="1">
      <c r="B6" s="781"/>
      <c r="C6" s="782"/>
      <c r="D6" s="782"/>
      <c r="E6" s="783"/>
      <c r="F6" s="735" t="s">
        <v>363</v>
      </c>
      <c r="G6" s="736"/>
      <c r="H6" s="736"/>
      <c r="I6" s="736"/>
      <c r="J6" s="795">
        <v>20</v>
      </c>
      <c r="K6" s="796"/>
      <c r="L6" s="796"/>
      <c r="M6" s="797"/>
      <c r="N6" s="727" t="s">
        <v>349</v>
      </c>
      <c r="O6" s="727"/>
      <c r="P6" s="728"/>
      <c r="Q6" s="334" t="s">
        <v>183</v>
      </c>
      <c r="R6" s="332"/>
      <c r="S6" s="332"/>
      <c r="T6" s="332"/>
      <c r="U6" s="331"/>
      <c r="V6" s="331"/>
      <c r="W6" s="331"/>
      <c r="X6" s="333"/>
      <c r="Y6" s="3"/>
      <c r="Z6" s="3"/>
      <c r="AA6" s="3"/>
      <c r="AB6" s="3"/>
      <c r="AC6" s="3"/>
      <c r="AD6" s="3"/>
      <c r="AE6" s="3"/>
      <c r="AF6" s="3"/>
      <c r="AG6" s="3"/>
      <c r="AH6" s="3"/>
      <c r="AI6" s="3"/>
      <c r="AJ6" s="3"/>
      <c r="AK6" s="3"/>
      <c r="AL6" s="4"/>
    </row>
    <row r="7" spans="2:38" ht="19.5" customHeight="1" thickBot="1">
      <c r="B7" s="781"/>
      <c r="C7" s="782"/>
      <c r="D7" s="782"/>
      <c r="E7" s="783"/>
      <c r="F7" s="735" t="s">
        <v>351</v>
      </c>
      <c r="G7" s="736"/>
      <c r="H7" s="736"/>
      <c r="I7" s="741"/>
      <c r="J7" s="758">
        <v>0</v>
      </c>
      <c r="K7" s="759"/>
      <c r="L7" s="759"/>
      <c r="M7" s="759"/>
      <c r="N7" s="695" t="s">
        <v>352</v>
      </c>
      <c r="O7" s="695"/>
      <c r="P7" s="696"/>
      <c r="Q7" s="735" t="s">
        <v>353</v>
      </c>
      <c r="R7" s="736"/>
      <c r="S7" s="736"/>
      <c r="T7" s="741"/>
      <c r="U7" s="751">
        <v>0</v>
      </c>
      <c r="V7" s="752"/>
      <c r="W7" s="752"/>
      <c r="X7" s="752"/>
      <c r="Y7" s="695" t="s">
        <v>352</v>
      </c>
      <c r="Z7" s="695"/>
      <c r="AA7" s="696"/>
      <c r="AB7" s="697" t="s">
        <v>354</v>
      </c>
      <c r="AC7" s="698"/>
      <c r="AD7" s="698"/>
      <c r="AE7" s="698"/>
      <c r="AF7" s="698"/>
      <c r="AG7" s="3"/>
      <c r="AH7" s="3"/>
      <c r="AI7" s="3"/>
      <c r="AJ7" s="3"/>
      <c r="AK7" s="3"/>
      <c r="AL7" s="4"/>
    </row>
    <row r="8" spans="2:38" ht="19.5" customHeight="1" thickBot="1">
      <c r="B8" s="781"/>
      <c r="C8" s="782"/>
      <c r="D8" s="782"/>
      <c r="E8" s="783"/>
      <c r="F8" s="735" t="s">
        <v>355</v>
      </c>
      <c r="G8" s="736"/>
      <c r="H8" s="736"/>
      <c r="I8" s="741"/>
      <c r="J8" s="760">
        <v>2</v>
      </c>
      <c r="K8" s="761"/>
      <c r="L8" s="761"/>
      <c r="M8" s="762"/>
      <c r="N8" s="763" t="s">
        <v>352</v>
      </c>
      <c r="O8" s="763"/>
      <c r="P8" s="764"/>
      <c r="Q8" s="735" t="s">
        <v>356</v>
      </c>
      <c r="R8" s="736"/>
      <c r="S8" s="736"/>
      <c r="T8" s="742"/>
      <c r="U8" s="743">
        <v>0</v>
      </c>
      <c r="V8" s="744"/>
      <c r="W8" s="745"/>
      <c r="X8" s="745"/>
      <c r="Y8" s="746" t="s">
        <v>352</v>
      </c>
      <c r="Z8" s="746"/>
      <c r="AA8" s="747"/>
      <c r="AB8" s="699"/>
      <c r="AC8" s="700"/>
      <c r="AD8" s="700"/>
      <c r="AE8" s="700"/>
      <c r="AF8" s="700"/>
      <c r="AG8" s="3"/>
      <c r="AH8" s="3"/>
      <c r="AI8" s="3"/>
      <c r="AJ8" s="3"/>
      <c r="AK8" s="3"/>
      <c r="AL8" s="4"/>
    </row>
    <row r="9" spans="2:38" ht="19.5" customHeight="1" thickTop="1" thickBot="1">
      <c r="B9" s="781"/>
      <c r="C9" s="782"/>
      <c r="D9" s="782"/>
      <c r="E9" s="783"/>
      <c r="F9" s="735" t="s">
        <v>534</v>
      </c>
      <c r="G9" s="736"/>
      <c r="H9" s="736"/>
      <c r="I9" s="741"/>
      <c r="J9" s="735" t="s">
        <v>534</v>
      </c>
      <c r="K9" s="757"/>
      <c r="L9" s="757"/>
      <c r="M9" s="729">
        <v>0</v>
      </c>
      <c r="N9" s="730"/>
      <c r="O9" s="731"/>
      <c r="P9" s="3" t="s">
        <v>525</v>
      </c>
      <c r="Q9" s="717" t="s">
        <v>535</v>
      </c>
      <c r="R9" s="757"/>
      <c r="S9" s="757"/>
      <c r="T9" s="729">
        <v>0</v>
      </c>
      <c r="U9" s="730"/>
      <c r="V9" s="731"/>
      <c r="W9" s="3" t="s">
        <v>523</v>
      </c>
      <c r="X9" s="2" t="s">
        <v>497</v>
      </c>
      <c r="Y9" s="3"/>
      <c r="Z9" s="3"/>
      <c r="AA9" s="3"/>
      <c r="AB9" s="3"/>
      <c r="AC9" s="3"/>
      <c r="AD9" s="3"/>
      <c r="AE9" s="3"/>
      <c r="AF9" s="3"/>
      <c r="AG9" s="3"/>
      <c r="AH9" s="3"/>
      <c r="AI9" s="3"/>
      <c r="AJ9" s="3"/>
      <c r="AK9" s="3"/>
      <c r="AL9" s="4"/>
    </row>
    <row r="10" spans="2:38" ht="19.5" customHeight="1" thickBot="1">
      <c r="B10" s="781"/>
      <c r="C10" s="782"/>
      <c r="D10" s="782"/>
      <c r="E10" s="783"/>
      <c r="F10" s="735" t="s">
        <v>536</v>
      </c>
      <c r="G10" s="736"/>
      <c r="H10" s="736"/>
      <c r="I10" s="741"/>
      <c r="J10" s="735" t="s">
        <v>537</v>
      </c>
      <c r="K10" s="736"/>
      <c r="L10" s="736"/>
      <c r="M10" s="732">
        <v>10</v>
      </c>
      <c r="N10" s="733"/>
      <c r="O10" s="734"/>
      <c r="P10" s="3" t="s">
        <v>525</v>
      </c>
      <c r="Q10" s="753" t="s">
        <v>538</v>
      </c>
      <c r="R10" s="736"/>
      <c r="S10" s="736"/>
      <c r="T10" s="732">
        <v>10</v>
      </c>
      <c r="U10" s="733"/>
      <c r="V10" s="734"/>
      <c r="W10" s="3" t="s">
        <v>525</v>
      </c>
      <c r="X10" s="2" t="s">
        <v>498</v>
      </c>
      <c r="Y10" s="3"/>
      <c r="Z10" s="3"/>
      <c r="AA10" s="3"/>
      <c r="AB10" s="3"/>
      <c r="AC10" s="3"/>
      <c r="AD10" s="3"/>
      <c r="AE10" s="3"/>
      <c r="AF10" s="3"/>
      <c r="AG10" s="3"/>
      <c r="AH10" s="3"/>
      <c r="AI10" s="3"/>
      <c r="AJ10" s="3"/>
      <c r="AK10" s="3"/>
      <c r="AL10" s="4"/>
    </row>
    <row r="11" spans="2:38" ht="19.5" customHeight="1" thickBot="1">
      <c r="B11" s="781"/>
      <c r="C11" s="782"/>
      <c r="D11" s="782"/>
      <c r="E11" s="783"/>
      <c r="F11" s="735" t="s">
        <v>539</v>
      </c>
      <c r="G11" s="736"/>
      <c r="H11" s="736"/>
      <c r="I11" s="741"/>
      <c r="J11" s="735" t="s">
        <v>499</v>
      </c>
      <c r="K11" s="736"/>
      <c r="L11" s="736"/>
      <c r="M11" s="765">
        <v>105</v>
      </c>
      <c r="N11" s="766"/>
      <c r="O11" s="767"/>
      <c r="P11" s="3" t="s">
        <v>525</v>
      </c>
      <c r="Q11" s="753" t="s">
        <v>500</v>
      </c>
      <c r="R11" s="736"/>
      <c r="S11" s="736"/>
      <c r="T11" s="748">
        <v>0</v>
      </c>
      <c r="U11" s="749"/>
      <c r="V11" s="750"/>
      <c r="W11" s="3" t="s">
        <v>525</v>
      </c>
      <c r="X11" s="2" t="s">
        <v>501</v>
      </c>
      <c r="Y11" s="3"/>
      <c r="Z11" s="3"/>
      <c r="AA11" s="3"/>
      <c r="AB11" s="3"/>
      <c r="AC11" s="3"/>
      <c r="AD11" s="3"/>
      <c r="AE11" s="3"/>
      <c r="AF11" s="3"/>
      <c r="AG11" s="3"/>
      <c r="AH11" s="3"/>
      <c r="AI11" s="3"/>
      <c r="AJ11" s="3"/>
      <c r="AK11" s="3"/>
      <c r="AL11" s="4"/>
    </row>
    <row r="12" spans="2:38" ht="19.5" customHeight="1">
      <c r="B12" s="781"/>
      <c r="C12" s="782"/>
      <c r="D12" s="782"/>
      <c r="E12" s="783"/>
      <c r="F12" s="787" t="s">
        <v>540</v>
      </c>
      <c r="G12" s="788"/>
      <c r="H12" s="788"/>
      <c r="I12" s="789"/>
      <c r="J12" s="768" t="s">
        <v>541</v>
      </c>
      <c r="K12" s="769"/>
      <c r="L12" s="769"/>
      <c r="M12" s="770">
        <v>2.6</v>
      </c>
      <c r="N12" s="771"/>
      <c r="O12" s="772"/>
      <c r="P12" s="5" t="s">
        <v>525</v>
      </c>
      <c r="Q12" s="6" t="s">
        <v>542</v>
      </c>
      <c r="R12" s="5"/>
      <c r="S12" s="5"/>
      <c r="T12" s="5"/>
      <c r="U12" s="5"/>
      <c r="V12" s="5"/>
      <c r="W12" s="5"/>
      <c r="X12" s="5"/>
      <c r="Y12" s="5"/>
      <c r="Z12" s="5"/>
      <c r="AA12" s="5"/>
      <c r="AB12" s="5"/>
      <c r="AC12" s="5"/>
      <c r="AD12" s="5"/>
      <c r="AE12" s="5"/>
      <c r="AF12" s="5"/>
      <c r="AG12" s="5"/>
      <c r="AH12" s="5"/>
      <c r="AI12" s="5"/>
      <c r="AJ12" s="5"/>
      <c r="AK12" s="5"/>
      <c r="AL12" s="7"/>
    </row>
    <row r="13" spans="2:38" ht="19.5" customHeight="1" thickBot="1">
      <c r="B13" s="781"/>
      <c r="C13" s="782"/>
      <c r="D13" s="782"/>
      <c r="E13" s="783"/>
      <c r="F13" s="790"/>
      <c r="G13" s="791"/>
      <c r="H13" s="791"/>
      <c r="I13" s="792"/>
      <c r="J13" s="773" t="s">
        <v>567</v>
      </c>
      <c r="K13" s="774"/>
      <c r="L13" s="774"/>
      <c r="M13" s="775">
        <v>24</v>
      </c>
      <c r="N13" s="776"/>
      <c r="O13" s="777"/>
      <c r="P13" s="8" t="s">
        <v>525</v>
      </c>
      <c r="Q13" s="9" t="s">
        <v>543</v>
      </c>
      <c r="R13" s="8"/>
      <c r="S13" s="8"/>
      <c r="T13" s="8"/>
      <c r="U13" s="8"/>
      <c r="V13" s="8"/>
      <c r="W13" s="8"/>
      <c r="X13" s="8"/>
      <c r="Y13" s="8"/>
      <c r="Z13" s="8"/>
      <c r="AA13" s="8"/>
      <c r="AB13" s="8"/>
      <c r="AC13" s="8"/>
      <c r="AD13" s="8"/>
      <c r="AE13" s="8"/>
      <c r="AF13" s="8"/>
      <c r="AG13" s="8"/>
      <c r="AH13" s="8"/>
      <c r="AI13" s="8"/>
      <c r="AJ13" s="8"/>
      <c r="AK13" s="8"/>
      <c r="AL13" s="10"/>
    </row>
    <row r="14" spans="2:38" ht="19.5" customHeight="1">
      <c r="B14" s="781"/>
      <c r="C14" s="782"/>
      <c r="D14" s="782"/>
      <c r="E14" s="783"/>
      <c r="F14" s="787" t="s">
        <v>502</v>
      </c>
      <c r="G14" s="788"/>
      <c r="H14" s="788"/>
      <c r="I14" s="789"/>
      <c r="J14" s="768" t="s">
        <v>541</v>
      </c>
      <c r="K14" s="769"/>
      <c r="L14" s="769"/>
      <c r="M14" s="770">
        <v>2.6</v>
      </c>
      <c r="N14" s="771"/>
      <c r="O14" s="772"/>
      <c r="P14" s="5" t="s">
        <v>525</v>
      </c>
      <c r="Q14" s="6" t="s">
        <v>503</v>
      </c>
      <c r="R14" s="5"/>
      <c r="S14" s="5"/>
      <c r="T14" s="5"/>
      <c r="U14" s="5"/>
      <c r="V14" s="5"/>
      <c r="W14" s="5"/>
      <c r="X14" s="5"/>
      <c r="Y14" s="5"/>
      <c r="Z14" s="5"/>
      <c r="AA14" s="5"/>
      <c r="AB14" s="5"/>
      <c r="AC14" s="5"/>
      <c r="AD14" s="5"/>
      <c r="AE14" s="5"/>
      <c r="AF14" s="5"/>
      <c r="AG14" s="5"/>
      <c r="AH14" s="5"/>
      <c r="AI14" s="5"/>
      <c r="AJ14" s="5"/>
      <c r="AK14" s="5"/>
      <c r="AL14" s="7"/>
    </row>
    <row r="15" spans="2:38" ht="19.5" customHeight="1" thickBot="1">
      <c r="B15" s="781"/>
      <c r="C15" s="782"/>
      <c r="D15" s="782"/>
      <c r="E15" s="783"/>
      <c r="F15" s="790"/>
      <c r="G15" s="791"/>
      <c r="H15" s="791"/>
      <c r="I15" s="792"/>
      <c r="J15" s="773" t="s">
        <v>504</v>
      </c>
      <c r="K15" s="774"/>
      <c r="L15" s="774"/>
      <c r="M15" s="775">
        <v>24</v>
      </c>
      <c r="N15" s="776"/>
      <c r="O15" s="777"/>
      <c r="P15" s="8" t="s">
        <v>525</v>
      </c>
      <c r="Q15" s="9" t="s">
        <v>505</v>
      </c>
      <c r="R15" s="8"/>
      <c r="S15" s="8"/>
      <c r="T15" s="38"/>
      <c r="U15" s="38"/>
      <c r="V15" s="38"/>
      <c r="W15" s="8"/>
      <c r="X15" s="8"/>
      <c r="Y15" s="8"/>
      <c r="Z15" s="8"/>
      <c r="AA15" s="8"/>
      <c r="AB15" s="8"/>
      <c r="AC15" s="8"/>
      <c r="AD15" s="8"/>
      <c r="AE15" s="8"/>
      <c r="AF15" s="8"/>
      <c r="AG15" s="8"/>
      <c r="AH15" s="8"/>
      <c r="AI15" s="8"/>
      <c r="AJ15" s="8"/>
      <c r="AK15" s="8"/>
      <c r="AL15" s="10"/>
    </row>
    <row r="16" spans="2:38" ht="19.5" customHeight="1" thickTop="1" thickBot="1">
      <c r="B16" s="784"/>
      <c r="C16" s="785"/>
      <c r="D16" s="785"/>
      <c r="E16" s="786"/>
      <c r="F16" s="735" t="s">
        <v>506</v>
      </c>
      <c r="G16" s="736"/>
      <c r="H16" s="736"/>
      <c r="I16" s="741"/>
      <c r="J16" s="735" t="s">
        <v>507</v>
      </c>
      <c r="K16" s="736"/>
      <c r="L16" s="736"/>
      <c r="M16" s="809">
        <v>100</v>
      </c>
      <c r="N16" s="810"/>
      <c r="O16" s="811"/>
      <c r="P16" s="3" t="s">
        <v>525</v>
      </c>
      <c r="Q16" s="753" t="s">
        <v>493</v>
      </c>
      <c r="R16" s="736"/>
      <c r="S16" s="736"/>
      <c r="T16" s="801">
        <v>1000</v>
      </c>
      <c r="U16" s="802"/>
      <c r="V16" s="803"/>
      <c r="W16" s="3" t="s">
        <v>525</v>
      </c>
      <c r="X16" s="2" t="s">
        <v>508</v>
      </c>
      <c r="Y16" s="3"/>
      <c r="Z16" s="3"/>
      <c r="AA16" s="3"/>
      <c r="AB16" s="3"/>
      <c r="AC16" s="3"/>
      <c r="AD16" s="3"/>
      <c r="AE16" s="3"/>
      <c r="AF16" s="3"/>
      <c r="AG16" s="3"/>
      <c r="AH16" s="3"/>
      <c r="AI16" s="3"/>
      <c r="AJ16" s="3"/>
      <c r="AK16" s="3"/>
      <c r="AL16" s="4"/>
    </row>
    <row r="17" spans="2:38">
      <c r="F17" s="122"/>
      <c r="V17" s="48"/>
      <c r="W17" s="38"/>
      <c r="X17" s="115"/>
      <c r="Y17" s="38"/>
      <c r="Z17" s="38"/>
      <c r="AA17" s="38"/>
      <c r="AB17" s="38"/>
      <c r="AC17" s="38"/>
      <c r="AD17" s="38"/>
      <c r="AE17" s="38"/>
      <c r="AF17" s="38"/>
      <c r="AG17" s="38"/>
      <c r="AH17" s="38"/>
      <c r="AI17" s="38"/>
      <c r="AJ17" s="38"/>
      <c r="AK17" s="38"/>
      <c r="AL17" s="38"/>
    </row>
    <row r="18" spans="2:38">
      <c r="B18" s="50" t="s">
        <v>509</v>
      </c>
    </row>
    <row r="19" spans="2:38" ht="14.25" thickBot="1">
      <c r="B19" t="s">
        <v>544</v>
      </c>
    </row>
    <row r="20" spans="2:38" ht="14.25" thickBot="1">
      <c r="B20" s="665" t="s">
        <v>545</v>
      </c>
      <c r="C20" s="666"/>
      <c r="D20" s="666"/>
      <c r="E20" s="666"/>
      <c r="F20" s="666"/>
      <c r="G20" s="666"/>
      <c r="H20" s="666"/>
      <c r="I20" s="665" t="s">
        <v>546</v>
      </c>
      <c r="J20" s="666"/>
      <c r="K20" s="666"/>
      <c r="L20" s="666"/>
      <c r="M20" s="666"/>
      <c r="N20" s="666"/>
      <c r="O20" s="667"/>
      <c r="P20" s="665" t="s">
        <v>547</v>
      </c>
      <c r="Q20" s="666"/>
      <c r="R20" s="666"/>
      <c r="S20" s="706"/>
      <c r="T20" s="693" t="s">
        <v>548</v>
      </c>
      <c r="U20" s="694"/>
      <c r="V20" s="694"/>
      <c r="W20" s="667"/>
    </row>
    <row r="21" spans="2:38" ht="13.5" customHeight="1" thickTop="1">
      <c r="B21" s="684" t="s">
        <v>510</v>
      </c>
      <c r="C21" s="701"/>
      <c r="D21" s="701"/>
      <c r="E21" s="701"/>
      <c r="F21" s="701"/>
      <c r="G21" s="701"/>
      <c r="H21" s="702"/>
      <c r="I21" s="707" t="s">
        <v>549</v>
      </c>
      <c r="J21" s="708"/>
      <c r="K21" s="708"/>
      <c r="L21" s="708"/>
      <c r="M21" s="708"/>
      <c r="N21" s="708"/>
      <c r="O21" s="709"/>
      <c r="P21" s="129" t="s">
        <v>553</v>
      </c>
      <c r="Q21" s="130"/>
      <c r="R21" s="130"/>
      <c r="S21" s="130"/>
      <c r="T21" s="721">
        <v>80</v>
      </c>
      <c r="U21" s="722"/>
      <c r="V21" s="723"/>
      <c r="W21" s="131" t="s">
        <v>525</v>
      </c>
    </row>
    <row r="22" spans="2:38" ht="14.25" thickBot="1">
      <c r="B22" s="703"/>
      <c r="C22" s="704"/>
      <c r="D22" s="704"/>
      <c r="E22" s="704"/>
      <c r="F22" s="704"/>
      <c r="G22" s="704"/>
      <c r="H22" s="705"/>
      <c r="I22" s="718" t="s">
        <v>550</v>
      </c>
      <c r="J22" s="719"/>
      <c r="K22" s="719"/>
      <c r="L22" s="719"/>
      <c r="M22" s="719"/>
      <c r="N22" s="719"/>
      <c r="O22" s="720"/>
      <c r="P22" s="132" t="s">
        <v>554</v>
      </c>
      <c r="Q22" s="83"/>
      <c r="R22" s="83"/>
      <c r="S22" s="83"/>
      <c r="T22" s="724">
        <v>120</v>
      </c>
      <c r="U22" s="725"/>
      <c r="V22" s="726"/>
      <c r="W22" s="133" t="s">
        <v>525</v>
      </c>
    </row>
    <row r="23" spans="2:38" ht="13.5" customHeight="1">
      <c r="B23" s="684" t="s">
        <v>495</v>
      </c>
      <c r="C23" s="701"/>
      <c r="D23" s="701"/>
      <c r="E23" s="701"/>
      <c r="F23" s="701"/>
      <c r="G23" s="701"/>
      <c r="H23" s="702"/>
      <c r="I23" s="707" t="s">
        <v>549</v>
      </c>
      <c r="J23" s="708"/>
      <c r="K23" s="708"/>
      <c r="L23" s="708"/>
      <c r="M23" s="708"/>
      <c r="N23" s="708"/>
      <c r="O23" s="709"/>
      <c r="P23" s="129" t="s">
        <v>553</v>
      </c>
      <c r="Q23" s="130"/>
      <c r="R23" s="130"/>
      <c r="S23" s="130"/>
      <c r="T23" s="653">
        <v>380</v>
      </c>
      <c r="U23" s="654"/>
      <c r="V23" s="655"/>
      <c r="W23" s="131" t="s">
        <v>525</v>
      </c>
    </row>
    <row r="24" spans="2:38" ht="13.5" customHeight="1" thickBot="1">
      <c r="B24" s="710"/>
      <c r="C24" s="711"/>
      <c r="D24" s="711"/>
      <c r="E24" s="711"/>
      <c r="F24" s="711"/>
      <c r="G24" s="711"/>
      <c r="H24" s="712"/>
      <c r="I24" s="814" t="s">
        <v>550</v>
      </c>
      <c r="J24" s="815"/>
      <c r="K24" s="815"/>
      <c r="L24" s="815"/>
      <c r="M24" s="815"/>
      <c r="N24" s="815"/>
      <c r="O24" s="816"/>
      <c r="P24" s="134" t="s">
        <v>554</v>
      </c>
      <c r="Q24" s="135"/>
      <c r="R24" s="135"/>
      <c r="S24" s="135"/>
      <c r="T24" s="724">
        <v>420</v>
      </c>
      <c r="U24" s="725"/>
      <c r="V24" s="726"/>
      <c r="W24" s="136" t="s">
        <v>525</v>
      </c>
    </row>
    <row r="25" spans="2:38" ht="13.5" customHeight="1">
      <c r="B25" s="684" t="s">
        <v>511</v>
      </c>
      <c r="C25" s="685"/>
      <c r="D25" s="685"/>
      <c r="E25" s="685"/>
      <c r="F25" s="685"/>
      <c r="G25" s="685"/>
      <c r="H25" s="812"/>
      <c r="I25" s="707" t="s">
        <v>549</v>
      </c>
      <c r="J25" s="817"/>
      <c r="K25" s="708"/>
      <c r="L25" s="708"/>
      <c r="M25" s="708"/>
      <c r="N25" s="708"/>
      <c r="O25" s="709"/>
      <c r="P25" s="129" t="s">
        <v>553</v>
      </c>
      <c r="Q25" s="130"/>
      <c r="R25" s="130"/>
      <c r="S25" s="130"/>
      <c r="T25" s="653">
        <v>380</v>
      </c>
      <c r="U25" s="654"/>
      <c r="V25" s="655"/>
      <c r="W25" s="131" t="s">
        <v>525</v>
      </c>
    </row>
    <row r="26" spans="2:38" ht="14.25" customHeight="1" thickBot="1">
      <c r="B26" s="690"/>
      <c r="C26" s="691"/>
      <c r="D26" s="691"/>
      <c r="E26" s="691"/>
      <c r="F26" s="691"/>
      <c r="G26" s="691"/>
      <c r="H26" s="813"/>
      <c r="I26" s="814" t="s">
        <v>550</v>
      </c>
      <c r="J26" s="818"/>
      <c r="K26" s="815"/>
      <c r="L26" s="815"/>
      <c r="M26" s="815"/>
      <c r="N26" s="815"/>
      <c r="O26" s="816"/>
      <c r="P26" s="134" t="s">
        <v>554</v>
      </c>
      <c r="Q26" s="135"/>
      <c r="R26" s="135"/>
      <c r="S26" s="135"/>
      <c r="T26" s="656">
        <v>420</v>
      </c>
      <c r="U26" s="657"/>
      <c r="V26" s="658"/>
      <c r="W26" s="136" t="s">
        <v>525</v>
      </c>
    </row>
    <row r="27" spans="2:38">
      <c r="B27" t="s">
        <v>551</v>
      </c>
    </row>
    <row r="29" spans="2:38" ht="14.25" thickBot="1">
      <c r="B29" t="s">
        <v>552</v>
      </c>
    </row>
    <row r="30" spans="2:38" ht="14.25" thickBot="1">
      <c r="B30" s="665" t="s">
        <v>545</v>
      </c>
      <c r="C30" s="666"/>
      <c r="D30" s="666"/>
      <c r="E30" s="666"/>
      <c r="F30" s="666"/>
      <c r="G30" s="666"/>
      <c r="H30" s="706"/>
      <c r="I30" s="717" t="s">
        <v>512</v>
      </c>
      <c r="J30" s="666"/>
      <c r="K30" s="666"/>
      <c r="L30" s="666"/>
      <c r="M30" s="666"/>
      <c r="N30" s="666"/>
      <c r="O30" s="666"/>
      <c r="P30" s="666"/>
      <c r="Q30" s="667"/>
      <c r="R30" s="665" t="s">
        <v>547</v>
      </c>
      <c r="S30" s="666"/>
      <c r="T30" s="666"/>
      <c r="U30" s="667"/>
      <c r="V30" s="740" t="s">
        <v>548</v>
      </c>
      <c r="W30" s="694"/>
      <c r="X30" s="694"/>
      <c r="Y30" s="667"/>
    </row>
    <row r="31" spans="2:38" ht="13.5" customHeight="1" thickTop="1">
      <c r="B31" s="684" t="s">
        <v>555</v>
      </c>
      <c r="C31" s="685"/>
      <c r="D31" s="685"/>
      <c r="E31" s="685"/>
      <c r="F31" s="685"/>
      <c r="G31" s="685"/>
      <c r="H31" s="686"/>
      <c r="I31" s="137" t="s">
        <v>513</v>
      </c>
      <c r="J31" s="138"/>
      <c r="K31" s="138"/>
      <c r="L31" s="138"/>
      <c r="M31" s="138"/>
      <c r="N31" s="138"/>
      <c r="O31" s="138"/>
      <c r="P31" s="138"/>
      <c r="Q31" s="139"/>
      <c r="R31" s="140"/>
      <c r="S31" s="141"/>
      <c r="T31" s="141"/>
      <c r="U31" s="141"/>
      <c r="V31" s="659">
        <v>80</v>
      </c>
      <c r="W31" s="660"/>
      <c r="X31" s="661"/>
      <c r="Y31" s="13" t="s">
        <v>525</v>
      </c>
    </row>
    <row r="32" spans="2:38">
      <c r="B32" s="687"/>
      <c r="C32" s="688"/>
      <c r="D32" s="688"/>
      <c r="E32" s="688"/>
      <c r="F32" s="688"/>
      <c r="G32" s="688"/>
      <c r="H32" s="689"/>
      <c r="I32" s="142" t="s">
        <v>514</v>
      </c>
      <c r="J32" s="143"/>
      <c r="K32" s="143"/>
      <c r="L32" s="143"/>
      <c r="M32" s="143"/>
      <c r="N32" s="143"/>
      <c r="O32" s="143"/>
      <c r="P32" s="143"/>
      <c r="Q32" s="144"/>
      <c r="R32" s="713" t="s">
        <v>515</v>
      </c>
      <c r="S32" s="714"/>
      <c r="T32" s="714"/>
      <c r="U32" s="714"/>
      <c r="V32" s="668">
        <v>160</v>
      </c>
      <c r="W32" s="669"/>
      <c r="X32" s="670"/>
      <c r="Y32" s="807" t="s">
        <v>525</v>
      </c>
    </row>
    <row r="33" spans="2:36">
      <c r="B33" s="687"/>
      <c r="C33" s="688"/>
      <c r="D33" s="688"/>
      <c r="E33" s="688"/>
      <c r="F33" s="688"/>
      <c r="G33" s="688"/>
      <c r="H33" s="689"/>
      <c r="I33" s="142" t="s">
        <v>516</v>
      </c>
      <c r="J33" s="143"/>
      <c r="K33" s="143"/>
      <c r="L33" s="143"/>
      <c r="M33" s="143"/>
      <c r="N33" s="143"/>
      <c r="O33" s="143"/>
      <c r="P33" s="143"/>
      <c r="Q33" s="144"/>
      <c r="R33" s="715"/>
      <c r="S33" s="716"/>
      <c r="T33" s="716"/>
      <c r="U33" s="716"/>
      <c r="V33" s="671"/>
      <c r="W33" s="672"/>
      <c r="X33" s="673"/>
      <c r="Y33" s="808"/>
    </row>
    <row r="34" spans="2:36">
      <c r="B34" s="687"/>
      <c r="C34" s="688"/>
      <c r="D34" s="688"/>
      <c r="E34" s="688"/>
      <c r="F34" s="688"/>
      <c r="G34" s="688"/>
      <c r="H34" s="689"/>
      <c r="I34" s="145"/>
      <c r="J34" s="146"/>
      <c r="K34" s="146"/>
      <c r="L34" s="146"/>
      <c r="M34" s="146"/>
      <c r="N34" s="146"/>
      <c r="O34" s="146"/>
      <c r="P34" s="146"/>
      <c r="Q34" s="147"/>
      <c r="R34" s="16" t="s">
        <v>517</v>
      </c>
      <c r="S34" s="17"/>
      <c r="T34" s="17"/>
      <c r="U34" s="17"/>
      <c r="V34" s="662">
        <v>210</v>
      </c>
      <c r="W34" s="663"/>
      <c r="X34" s="664"/>
      <c r="Y34" s="18" t="s">
        <v>525</v>
      </c>
    </row>
    <row r="35" spans="2:36">
      <c r="B35" s="687"/>
      <c r="C35" s="688"/>
      <c r="D35" s="688"/>
      <c r="E35" s="688"/>
      <c r="F35" s="688"/>
      <c r="G35" s="688"/>
      <c r="H35" s="689"/>
      <c r="I35" s="142" t="s">
        <v>518</v>
      </c>
      <c r="J35" s="143"/>
      <c r="K35" s="143"/>
      <c r="L35" s="143"/>
      <c r="M35" s="143"/>
      <c r="N35" s="143"/>
      <c r="O35" s="143"/>
      <c r="P35" s="143"/>
      <c r="Q35" s="144"/>
      <c r="R35" s="148"/>
      <c r="S35" s="149"/>
      <c r="T35" s="149"/>
      <c r="U35" s="149"/>
      <c r="V35" s="662">
        <v>240</v>
      </c>
      <c r="W35" s="663"/>
      <c r="X35" s="664"/>
      <c r="Y35" s="18" t="s">
        <v>525</v>
      </c>
    </row>
    <row r="36" spans="2:36" ht="14.25" thickBot="1">
      <c r="B36" s="690"/>
      <c r="C36" s="691"/>
      <c r="D36" s="691"/>
      <c r="E36" s="691"/>
      <c r="F36" s="691"/>
      <c r="G36" s="691"/>
      <c r="H36" s="692"/>
      <c r="I36" s="150"/>
      <c r="J36" s="151"/>
      <c r="K36" s="151"/>
      <c r="L36" s="151"/>
      <c r="M36" s="151"/>
      <c r="N36" s="151"/>
      <c r="O36" s="151"/>
      <c r="P36" s="151"/>
      <c r="Q36" s="152"/>
      <c r="R36" s="14" t="s">
        <v>519</v>
      </c>
      <c r="S36" s="8"/>
      <c r="T36" s="8"/>
      <c r="U36" s="8"/>
      <c r="V36" s="804">
        <v>310</v>
      </c>
      <c r="W36" s="805"/>
      <c r="X36" s="806"/>
      <c r="Y36" s="10" t="s">
        <v>525</v>
      </c>
    </row>
    <row r="37" spans="2:36">
      <c r="B37" t="s">
        <v>551</v>
      </c>
    </row>
    <row r="38" spans="2:36">
      <c r="B38" t="s">
        <v>520</v>
      </c>
    </row>
    <row r="40" spans="2:36" ht="14.25" thickBot="1">
      <c r="B40" t="s">
        <v>521</v>
      </c>
      <c r="AF40" s="122"/>
      <c r="AH40" s="122"/>
      <c r="AI40" s="122"/>
      <c r="AJ40" s="122"/>
    </row>
    <row r="41" spans="2:36" ht="14.25" thickBot="1">
      <c r="B41" s="665" t="s">
        <v>546</v>
      </c>
      <c r="C41" s="666"/>
      <c r="D41" s="666"/>
      <c r="E41" s="666"/>
      <c r="F41" s="666"/>
      <c r="G41" s="666"/>
      <c r="H41" s="666"/>
      <c r="I41" s="665" t="s">
        <v>490</v>
      </c>
      <c r="J41" s="666"/>
      <c r="K41" s="666"/>
      <c r="L41" s="666"/>
      <c r="M41" s="666"/>
      <c r="N41" s="666"/>
      <c r="O41" s="666"/>
      <c r="P41" s="153"/>
      <c r="Q41" s="153"/>
      <c r="R41" s="153"/>
      <c r="S41" s="693" t="s">
        <v>548</v>
      </c>
      <c r="T41" s="694"/>
      <c r="U41" s="694"/>
      <c r="V41" s="667"/>
    </row>
    <row r="42" spans="2:36" ht="13.5" customHeight="1" thickTop="1">
      <c r="B42" s="675" t="s">
        <v>489</v>
      </c>
      <c r="C42" s="676"/>
      <c r="D42" s="676"/>
      <c r="E42" s="676"/>
      <c r="F42" s="676"/>
      <c r="G42" s="676"/>
      <c r="H42" s="677"/>
      <c r="I42" s="11" t="s">
        <v>491</v>
      </c>
      <c r="J42" s="12"/>
      <c r="K42" s="12"/>
      <c r="L42" s="12"/>
      <c r="M42" s="12"/>
      <c r="N42" s="12"/>
      <c r="O42" s="12"/>
      <c r="P42" s="154"/>
      <c r="Q42" s="154"/>
      <c r="R42" s="154"/>
      <c r="S42" s="644">
        <v>100</v>
      </c>
      <c r="T42" s="645"/>
      <c r="U42" s="646"/>
      <c r="V42" s="13" t="s">
        <v>525</v>
      </c>
    </row>
    <row r="43" spans="2:36">
      <c r="B43" s="678"/>
      <c r="C43" s="679"/>
      <c r="D43" s="679"/>
      <c r="E43" s="679"/>
      <c r="F43" s="679"/>
      <c r="G43" s="679"/>
      <c r="H43" s="680"/>
      <c r="I43" s="16" t="s">
        <v>492</v>
      </c>
      <c r="J43" s="17"/>
      <c r="K43" s="17"/>
      <c r="L43" s="17"/>
      <c r="M43" s="17"/>
      <c r="N43" s="17"/>
      <c r="O43" s="17"/>
      <c r="P43" s="17"/>
      <c r="Q43" s="17"/>
      <c r="R43" s="17"/>
      <c r="S43" s="647">
        <v>100</v>
      </c>
      <c r="T43" s="648"/>
      <c r="U43" s="649"/>
      <c r="V43" s="18" t="s">
        <v>525</v>
      </c>
    </row>
    <row r="44" spans="2:36" ht="14.25" thickBot="1">
      <c r="B44" s="681"/>
      <c r="C44" s="682"/>
      <c r="D44" s="682"/>
      <c r="E44" s="682"/>
      <c r="F44" s="682"/>
      <c r="G44" s="682"/>
      <c r="H44" s="683"/>
      <c r="I44" s="155" t="s">
        <v>493</v>
      </c>
      <c r="J44" s="156"/>
      <c r="K44" s="156"/>
      <c r="L44" s="156"/>
      <c r="M44" s="156"/>
      <c r="N44" s="156"/>
      <c r="O44" s="156"/>
      <c r="P44" s="156"/>
      <c r="Q44" s="156"/>
      <c r="R44" s="156"/>
      <c r="S44" s="650">
        <v>1000</v>
      </c>
      <c r="T44" s="651"/>
      <c r="U44" s="652"/>
      <c r="V44" s="157" t="s">
        <v>525</v>
      </c>
    </row>
  </sheetData>
  <sheetProtection password="CF68" sheet="1" objects="1" scenarios="1"/>
  <mergeCells count="94">
    <mergeCell ref="T16:V16"/>
    <mergeCell ref="V36:X36"/>
    <mergeCell ref="Y32:Y33"/>
    <mergeCell ref="F16:I16"/>
    <mergeCell ref="J16:L16"/>
    <mergeCell ref="M16:O16"/>
    <mergeCell ref="B25:H26"/>
    <mergeCell ref="I24:O24"/>
    <mergeCell ref="I25:O25"/>
    <mergeCell ref="I26:O26"/>
    <mergeCell ref="B4:E16"/>
    <mergeCell ref="J10:L10"/>
    <mergeCell ref="M10:O10"/>
    <mergeCell ref="F12:I13"/>
    <mergeCell ref="J12:L12"/>
    <mergeCell ref="M12:O12"/>
    <mergeCell ref="F5:I5"/>
    <mergeCell ref="J6:M6"/>
    <mergeCell ref="J5:M5"/>
    <mergeCell ref="F14:I15"/>
    <mergeCell ref="J14:L14"/>
    <mergeCell ref="M14:O14"/>
    <mergeCell ref="J15:L15"/>
    <mergeCell ref="M15:O15"/>
    <mergeCell ref="J13:L13"/>
    <mergeCell ref="M13:O13"/>
    <mergeCell ref="N8:P8"/>
    <mergeCell ref="F11:I11"/>
    <mergeCell ref="N5:P5"/>
    <mergeCell ref="J11:L11"/>
    <mergeCell ref="M11:O11"/>
    <mergeCell ref="F10:I10"/>
    <mergeCell ref="F9:I9"/>
    <mergeCell ref="J9:L9"/>
    <mergeCell ref="Q4:T4"/>
    <mergeCell ref="Q9:S9"/>
    <mergeCell ref="F6:I6"/>
    <mergeCell ref="N7:P7"/>
    <mergeCell ref="F8:I8"/>
    <mergeCell ref="N6:P6"/>
    <mergeCell ref="F7:I7"/>
    <mergeCell ref="J7:M7"/>
    <mergeCell ref="M9:O9"/>
    <mergeCell ref="J8:M8"/>
    <mergeCell ref="V30:Y30"/>
    <mergeCell ref="Q7:T7"/>
    <mergeCell ref="Q8:T8"/>
    <mergeCell ref="U8:X8"/>
    <mergeCell ref="Y8:AA8"/>
    <mergeCell ref="T11:V11"/>
    <mergeCell ref="U7:X7"/>
    <mergeCell ref="Q10:S10"/>
    <mergeCell ref="Q11:S11"/>
    <mergeCell ref="Q16:S16"/>
    <mergeCell ref="B20:H20"/>
    <mergeCell ref="I20:O20"/>
    <mergeCell ref="P20:S20"/>
    <mergeCell ref="T20:W20"/>
    <mergeCell ref="U4:W4"/>
    <mergeCell ref="T9:V9"/>
    <mergeCell ref="T10:V10"/>
    <mergeCell ref="F4:I4"/>
    <mergeCell ref="J4:M4"/>
    <mergeCell ref="N4:P4"/>
    <mergeCell ref="I23:O23"/>
    <mergeCell ref="B23:H24"/>
    <mergeCell ref="I21:O21"/>
    <mergeCell ref="R32:U33"/>
    <mergeCell ref="I30:Q30"/>
    <mergeCell ref="I22:O22"/>
    <mergeCell ref="T21:V21"/>
    <mergeCell ref="T22:V22"/>
    <mergeCell ref="T23:V23"/>
    <mergeCell ref="T24:V24"/>
    <mergeCell ref="B2:AL2"/>
    <mergeCell ref="B41:H41"/>
    <mergeCell ref="I41:O41"/>
    <mergeCell ref="B42:H44"/>
    <mergeCell ref="B31:H36"/>
    <mergeCell ref="S41:V41"/>
    <mergeCell ref="Y7:AA7"/>
    <mergeCell ref="AB7:AF8"/>
    <mergeCell ref="B21:H22"/>
    <mergeCell ref="B30:H30"/>
    <mergeCell ref="S42:U42"/>
    <mergeCell ref="S43:U43"/>
    <mergeCell ref="S44:U44"/>
    <mergeCell ref="T25:V25"/>
    <mergeCell ref="T26:V26"/>
    <mergeCell ref="V31:X31"/>
    <mergeCell ref="V34:X34"/>
    <mergeCell ref="R30:U30"/>
    <mergeCell ref="V32:X33"/>
    <mergeCell ref="V35:X35"/>
  </mergeCells>
  <phoneticPr fontId="2"/>
  <pageMargins left="0.75" right="0.31" top="0.83" bottom="0.45" header="0.78" footer="0.43"/>
  <pageSetup paperSize="9" scale="8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enableFormatConditionsCalculation="0">
    <tabColor indexed="51"/>
    <pageSetUpPr fitToPage="1"/>
  </sheetPr>
  <dimension ref="A1:AN175"/>
  <sheetViews>
    <sheetView showGridLines="0" topLeftCell="A49" zoomScale="75" zoomScaleNormal="75" workbookViewId="0">
      <selection activeCell="S66" sqref="S66:T66"/>
    </sheetView>
  </sheetViews>
  <sheetFormatPr defaultRowHeight="13.5"/>
  <cols>
    <col min="1" max="2" width="3.625" style="21" customWidth="1"/>
    <col min="3" max="13" width="3.625" style="22" customWidth="1"/>
    <col min="14" max="52" width="3.625" style="21" customWidth="1"/>
    <col min="53" max="16384" width="9" style="21"/>
  </cols>
  <sheetData>
    <row r="1" spans="1:36" ht="21.75" thickBot="1">
      <c r="A1" s="20"/>
      <c r="B1" s="30" t="s">
        <v>385</v>
      </c>
    </row>
    <row r="2" spans="1:36" ht="17.100000000000001" customHeight="1" thickTop="1" thickBot="1">
      <c r="B2" s="22" t="s">
        <v>584</v>
      </c>
      <c r="W2" s="819"/>
      <c r="X2" s="820"/>
      <c r="Y2" s="821"/>
      <c r="Z2" s="822"/>
      <c r="AA2" s="22" t="s">
        <v>377</v>
      </c>
    </row>
    <row r="3" spans="1:36" ht="17.100000000000001" customHeight="1" thickTop="1">
      <c r="B3" s="22" t="s">
        <v>582</v>
      </c>
      <c r="Y3" s="823"/>
      <c r="Z3" s="824"/>
      <c r="AA3" s="22" t="s">
        <v>378</v>
      </c>
    </row>
    <row r="4" spans="1:36" ht="17.25">
      <c r="B4" s="827" t="s">
        <v>583</v>
      </c>
      <c r="C4" s="828"/>
      <c r="D4" s="828"/>
      <c r="E4" s="828"/>
      <c r="F4" s="828"/>
      <c r="G4" s="828"/>
      <c r="H4" s="828"/>
      <c r="I4" s="828"/>
      <c r="J4" s="828"/>
      <c r="K4" s="828"/>
      <c r="L4" s="828"/>
      <c r="M4" s="828"/>
      <c r="N4" s="828"/>
      <c r="O4" s="828"/>
      <c r="P4" s="828"/>
      <c r="Q4" s="828"/>
      <c r="R4" s="828"/>
      <c r="S4" s="828"/>
      <c r="T4" s="828"/>
      <c r="U4" s="828"/>
      <c r="V4" s="828"/>
      <c r="W4" s="828"/>
      <c r="X4" s="828"/>
      <c r="Y4" s="828"/>
      <c r="Z4" s="828"/>
      <c r="AA4" s="828"/>
      <c r="AB4" s="828"/>
      <c r="AC4" s="828"/>
      <c r="AD4" s="828"/>
      <c r="AE4" s="828"/>
      <c r="AF4" s="828"/>
      <c r="AG4" s="828"/>
      <c r="AH4" s="828"/>
      <c r="AI4" s="828"/>
      <c r="AJ4" s="829"/>
    </row>
    <row r="5" spans="1:36" customFormat="1" ht="8.1" customHeight="1">
      <c r="C5" s="99"/>
      <c r="D5" s="99"/>
      <c r="E5" s="99"/>
      <c r="F5" s="99"/>
      <c r="G5" s="99"/>
      <c r="H5" s="99"/>
      <c r="I5" s="99"/>
      <c r="J5" s="99"/>
      <c r="K5" s="99"/>
      <c r="L5" s="99"/>
      <c r="M5" s="99"/>
    </row>
    <row r="6" spans="1:36" ht="17.100000000000001" customHeight="1" thickBot="1">
      <c r="B6" s="27" t="s">
        <v>215</v>
      </c>
      <c r="C6" s="29"/>
      <c r="D6" s="29"/>
      <c r="E6" s="29"/>
      <c r="F6" s="29"/>
      <c r="G6" s="29"/>
      <c r="H6" s="29"/>
      <c r="I6" s="29"/>
      <c r="J6" s="29"/>
      <c r="K6" s="29"/>
      <c r="L6" s="29"/>
      <c r="M6" s="29"/>
      <c r="N6" s="28"/>
      <c r="O6" s="28"/>
      <c r="P6" s="28"/>
      <c r="Q6" s="28"/>
      <c r="R6" s="28"/>
      <c r="S6" s="28"/>
      <c r="T6" s="28"/>
    </row>
    <row r="7" spans="1:36" ht="6" customHeight="1"/>
    <row r="8" spans="1:36" ht="17.100000000000001" customHeight="1">
      <c r="B8" s="825" t="s">
        <v>230</v>
      </c>
      <c r="C8" s="825"/>
      <c r="D8" s="825"/>
      <c r="E8" s="825"/>
      <c r="F8" s="825"/>
      <c r="G8" s="825"/>
      <c r="H8" s="825"/>
      <c r="I8" s="825"/>
      <c r="J8" s="825"/>
      <c r="K8" s="825"/>
      <c r="L8" s="825"/>
      <c r="M8" s="825"/>
      <c r="N8" s="825"/>
      <c r="O8" s="825"/>
      <c r="P8" s="825"/>
      <c r="Q8" s="825"/>
      <c r="R8" s="825"/>
      <c r="S8" s="825"/>
      <c r="T8" s="825"/>
      <c r="U8" s="825"/>
      <c r="V8" s="825"/>
      <c r="W8" s="825"/>
      <c r="X8" s="825"/>
      <c r="Y8" s="825"/>
      <c r="Z8" s="825"/>
      <c r="AA8" s="825"/>
      <c r="AB8" s="825"/>
      <c r="AC8" s="825"/>
      <c r="AD8" s="825"/>
      <c r="AE8" s="825"/>
      <c r="AF8" s="825"/>
      <c r="AG8" s="825"/>
      <c r="AH8" s="825"/>
      <c r="AI8" s="825"/>
      <c r="AJ8" s="825"/>
    </row>
    <row r="9" spans="1:36" ht="17.100000000000001" customHeight="1">
      <c r="B9" s="825"/>
      <c r="C9" s="825"/>
      <c r="D9" s="825"/>
      <c r="E9" s="825"/>
      <c r="F9" s="825"/>
      <c r="G9" s="825"/>
      <c r="H9" s="825"/>
      <c r="I9" s="825"/>
      <c r="J9" s="825"/>
      <c r="K9" s="825"/>
      <c r="L9" s="825"/>
      <c r="M9" s="825"/>
      <c r="N9" s="825"/>
      <c r="O9" s="825"/>
      <c r="P9" s="825"/>
      <c r="Q9" s="825"/>
      <c r="R9" s="825"/>
      <c r="S9" s="825"/>
      <c r="T9" s="825"/>
      <c r="U9" s="825"/>
      <c r="V9" s="825"/>
      <c r="W9" s="825"/>
      <c r="X9" s="825"/>
      <c r="Y9" s="825"/>
      <c r="Z9" s="825"/>
      <c r="AA9" s="825"/>
      <c r="AB9" s="825"/>
      <c r="AC9" s="825"/>
      <c r="AD9" s="825"/>
      <c r="AE9" s="825"/>
      <c r="AF9" s="825"/>
      <c r="AG9" s="825"/>
      <c r="AH9" s="825"/>
      <c r="AI9" s="825"/>
      <c r="AJ9" s="825"/>
    </row>
    <row r="10" spans="1:36" ht="17.100000000000001" customHeight="1" thickBot="1">
      <c r="B10" s="825"/>
      <c r="C10" s="825"/>
      <c r="D10" s="825"/>
      <c r="E10" s="825"/>
      <c r="F10" s="825"/>
      <c r="G10" s="825"/>
      <c r="H10" s="825"/>
      <c r="I10" s="825"/>
      <c r="J10" s="825"/>
      <c r="K10" s="825"/>
      <c r="L10" s="825"/>
      <c r="M10" s="825"/>
      <c r="N10" s="825"/>
      <c r="O10" s="825"/>
      <c r="P10" s="825"/>
      <c r="Q10" s="825"/>
      <c r="R10" s="825"/>
      <c r="S10" s="825"/>
      <c r="T10" s="825"/>
      <c r="U10" s="825"/>
      <c r="V10" s="825"/>
      <c r="W10" s="825"/>
      <c r="X10" s="825"/>
      <c r="Y10" s="825"/>
      <c r="Z10" s="825"/>
      <c r="AA10" s="825"/>
      <c r="AB10" s="825"/>
      <c r="AC10" s="825"/>
      <c r="AD10" s="825"/>
      <c r="AE10" s="825"/>
      <c r="AF10" s="825"/>
      <c r="AG10" s="825"/>
      <c r="AH10" s="825"/>
      <c r="AI10" s="825"/>
      <c r="AJ10" s="825"/>
    </row>
    <row r="11" spans="1:36" ht="17.100000000000001" customHeight="1" thickTop="1" thickBot="1">
      <c r="C11" s="31" t="s">
        <v>298</v>
      </c>
      <c r="D11" s="31"/>
      <c r="E11" s="31"/>
      <c r="F11" s="31"/>
      <c r="G11" s="31"/>
      <c r="H11" s="31"/>
      <c r="I11" s="31"/>
      <c r="J11" s="31"/>
      <c r="K11" s="31"/>
      <c r="L11" s="31"/>
      <c r="M11" s="31"/>
      <c r="N11" s="32"/>
      <c r="O11" s="32"/>
      <c r="P11" s="32"/>
      <c r="Q11" s="32"/>
      <c r="R11" s="32"/>
      <c r="S11" s="841">
        <v>0</v>
      </c>
      <c r="T11" s="842"/>
      <c r="U11" s="22" t="s">
        <v>211</v>
      </c>
      <c r="Y11" s="830">
        <v>0</v>
      </c>
      <c r="Z11" s="831"/>
      <c r="AA11" s="72"/>
    </row>
    <row r="12" spans="1:36" ht="17.100000000000001" customHeight="1" thickTop="1" thickBot="1">
      <c r="C12" s="33" t="s">
        <v>299</v>
      </c>
      <c r="D12" s="33"/>
      <c r="E12" s="33"/>
      <c r="F12" s="33"/>
      <c r="G12" s="33"/>
      <c r="H12" s="33"/>
      <c r="I12" s="33"/>
      <c r="J12" s="33"/>
      <c r="K12" s="33"/>
      <c r="L12" s="33"/>
      <c r="M12" s="33"/>
      <c r="N12" s="34"/>
      <c r="O12" s="34"/>
      <c r="P12" s="34"/>
      <c r="Q12" s="34"/>
      <c r="R12" s="34"/>
      <c r="S12" s="841">
        <v>0</v>
      </c>
      <c r="T12" s="842"/>
      <c r="U12" s="22" t="s">
        <v>211</v>
      </c>
      <c r="Y12" s="830">
        <v>0</v>
      </c>
      <c r="Z12" s="831"/>
      <c r="AA12" s="72"/>
    </row>
    <row r="13" spans="1:36" ht="17.100000000000001" customHeight="1" thickTop="1" thickBot="1">
      <c r="C13" s="33" t="s">
        <v>301</v>
      </c>
      <c r="D13" s="33"/>
      <c r="E13" s="33"/>
      <c r="F13" s="33"/>
      <c r="G13" s="33"/>
      <c r="H13" s="33"/>
      <c r="I13" s="33"/>
      <c r="J13" s="33"/>
      <c r="K13" s="33"/>
      <c r="L13" s="33"/>
      <c r="M13" s="33"/>
      <c r="N13" s="34"/>
      <c r="O13" s="34"/>
      <c r="P13" s="34"/>
      <c r="Q13" s="34"/>
      <c r="R13" s="34"/>
      <c r="S13" s="841">
        <v>0</v>
      </c>
      <c r="T13" s="842"/>
      <c r="U13" s="22" t="s">
        <v>211</v>
      </c>
      <c r="Y13" s="830">
        <v>1</v>
      </c>
      <c r="Z13" s="831"/>
      <c r="AA13" s="72"/>
    </row>
    <row r="14" spans="1:36" ht="17.100000000000001" customHeight="1" thickTop="1">
      <c r="C14" s="24"/>
      <c r="R14" s="35" t="s">
        <v>579</v>
      </c>
      <c r="S14" s="838">
        <f>(S11*Y11)+(S12*Y12)+(S13*Y13)</f>
        <v>0</v>
      </c>
      <c r="T14" s="839"/>
      <c r="U14" s="22" t="s">
        <v>211</v>
      </c>
      <c r="Y14" s="840">
        <f>SUM(Y11:Z13)</f>
        <v>1</v>
      </c>
      <c r="Z14" s="840"/>
      <c r="AA14" s="72" t="s">
        <v>841</v>
      </c>
    </row>
    <row r="15" spans="1:36" ht="16.5" customHeight="1" thickBot="1">
      <c r="B15" s="27" t="s">
        <v>524</v>
      </c>
      <c r="C15" s="29"/>
      <c r="D15" s="29"/>
      <c r="E15" s="29"/>
      <c r="F15" s="29"/>
      <c r="G15" s="29"/>
      <c r="H15" s="29"/>
      <c r="I15" s="29" t="s">
        <v>564</v>
      </c>
      <c r="J15" s="29"/>
      <c r="K15" s="29"/>
      <c r="L15" s="29"/>
      <c r="M15" s="29"/>
      <c r="N15" s="28"/>
      <c r="O15" s="28"/>
      <c r="P15" s="28"/>
      <c r="Q15" s="28"/>
      <c r="R15" s="28"/>
      <c r="S15" s="28"/>
      <c r="T15" s="28"/>
      <c r="AA15" s="587" t="s">
        <v>842</v>
      </c>
    </row>
    <row r="16" spans="1:36" ht="6" customHeight="1"/>
    <row r="17" spans="2:27" ht="17.100000000000001" customHeight="1" thickBot="1">
      <c r="B17" s="22" t="s">
        <v>222</v>
      </c>
      <c r="N17" s="22"/>
      <c r="O17" s="22"/>
      <c r="P17" s="22"/>
      <c r="Q17" s="22"/>
      <c r="R17" s="22"/>
      <c r="S17" s="22"/>
      <c r="T17" s="22"/>
      <c r="U17" s="22"/>
      <c r="V17" s="22"/>
      <c r="W17" s="22"/>
      <c r="X17" s="22"/>
    </row>
    <row r="18" spans="2:27" ht="17.100000000000001" customHeight="1" thickTop="1" thickBot="1">
      <c r="B18" s="22"/>
      <c r="C18" s="31" t="s">
        <v>386</v>
      </c>
      <c r="D18" s="31"/>
      <c r="E18" s="31"/>
      <c r="F18" s="31"/>
      <c r="G18" s="31"/>
      <c r="H18" s="31"/>
      <c r="I18" s="31" t="s">
        <v>618</v>
      </c>
      <c r="J18" s="31"/>
      <c r="K18" s="31"/>
      <c r="L18" s="31"/>
      <c r="M18" s="31"/>
      <c r="N18" s="31"/>
      <c r="O18" s="31"/>
      <c r="P18" s="31"/>
      <c r="Q18" s="31"/>
      <c r="R18" s="31"/>
      <c r="S18" s="31"/>
      <c r="T18" s="31"/>
      <c r="U18" s="31"/>
      <c r="V18" s="31"/>
      <c r="W18" s="31"/>
      <c r="X18" s="31"/>
      <c r="Y18" s="830">
        <v>0</v>
      </c>
      <c r="Z18" s="831"/>
      <c r="AA18" s="72"/>
    </row>
    <row r="19" spans="2:27" ht="17.100000000000001" customHeight="1" thickTop="1" thickBot="1">
      <c r="B19" s="22"/>
      <c r="C19" s="33" t="s">
        <v>562</v>
      </c>
      <c r="D19" s="33"/>
      <c r="E19" s="33"/>
      <c r="F19" s="33"/>
      <c r="G19" s="33"/>
      <c r="H19" s="33"/>
      <c r="I19" s="33" t="s">
        <v>619</v>
      </c>
      <c r="J19" s="33"/>
      <c r="K19" s="33"/>
      <c r="L19" s="33"/>
      <c r="M19" s="33"/>
      <c r="N19" s="33"/>
      <c r="O19" s="33"/>
      <c r="P19" s="33"/>
      <c r="Q19" s="33"/>
      <c r="R19" s="33"/>
      <c r="S19" s="33"/>
      <c r="T19" s="33"/>
      <c r="U19" s="33"/>
      <c r="V19" s="33"/>
      <c r="W19" s="33"/>
      <c r="X19" s="33"/>
      <c r="Y19" s="830">
        <v>0</v>
      </c>
      <c r="Z19" s="831"/>
      <c r="AA19" s="72"/>
    </row>
    <row r="20" spans="2:27" ht="17.100000000000001" customHeight="1" thickTop="1" thickBot="1">
      <c r="B20" s="22"/>
      <c r="C20" s="33" t="s">
        <v>563</v>
      </c>
      <c r="D20" s="33"/>
      <c r="E20" s="33"/>
      <c r="F20" s="33"/>
      <c r="G20" s="33"/>
      <c r="H20" s="33"/>
      <c r="I20" s="33" t="s">
        <v>619</v>
      </c>
      <c r="J20" s="33"/>
      <c r="K20" s="33"/>
      <c r="L20" s="33"/>
      <c r="M20" s="33"/>
      <c r="N20" s="33"/>
      <c r="O20" s="33"/>
      <c r="P20" s="33"/>
      <c r="Q20" s="33"/>
      <c r="R20" s="33"/>
      <c r="S20" s="33"/>
      <c r="T20" s="33"/>
      <c r="U20" s="33"/>
      <c r="V20" s="33"/>
      <c r="W20" s="33"/>
      <c r="X20" s="33"/>
      <c r="Y20" s="830">
        <v>0</v>
      </c>
      <c r="Z20" s="831"/>
      <c r="AA20" s="72"/>
    </row>
    <row r="21" spans="2:27" ht="17.100000000000001" customHeight="1" thickTop="1" thickBot="1">
      <c r="B21" s="22"/>
      <c r="C21" s="33" t="s">
        <v>529</v>
      </c>
      <c r="D21" s="33"/>
      <c r="E21" s="33"/>
      <c r="F21" s="33"/>
      <c r="G21" s="33"/>
      <c r="H21" s="33"/>
      <c r="I21" s="33" t="s">
        <v>620</v>
      </c>
      <c r="J21" s="33"/>
      <c r="K21" s="33"/>
      <c r="L21" s="33"/>
      <c r="M21" s="33"/>
      <c r="N21" s="33"/>
      <c r="O21" s="33"/>
      <c r="P21" s="33"/>
      <c r="Q21" s="33"/>
      <c r="R21" s="33"/>
      <c r="S21" s="33"/>
      <c r="T21" s="33"/>
      <c r="U21" s="33"/>
      <c r="V21" s="33"/>
      <c r="W21" s="33"/>
      <c r="X21" s="33"/>
      <c r="Y21" s="830">
        <v>0</v>
      </c>
      <c r="Z21" s="831"/>
      <c r="AA21" s="72"/>
    </row>
    <row r="22" spans="2:27" ht="17.100000000000001" customHeight="1" thickTop="1" thickBot="1">
      <c r="B22" s="22"/>
      <c r="C22" s="33" t="s">
        <v>387</v>
      </c>
      <c r="D22" s="33"/>
      <c r="E22" s="33"/>
      <c r="F22" s="33"/>
      <c r="G22" s="33"/>
      <c r="H22" s="33"/>
      <c r="I22" s="33" t="s">
        <v>621</v>
      </c>
      <c r="J22" s="33"/>
      <c r="K22" s="33"/>
      <c r="L22" s="33"/>
      <c r="M22" s="33"/>
      <c r="N22" s="33"/>
      <c r="O22" s="33"/>
      <c r="P22" s="33"/>
      <c r="Q22" s="33"/>
      <c r="R22" s="33"/>
      <c r="S22" s="33"/>
      <c r="T22" s="33"/>
      <c r="U22" s="33"/>
      <c r="V22" s="33"/>
      <c r="W22" s="33"/>
      <c r="X22" s="33"/>
      <c r="Y22" s="830">
        <v>0</v>
      </c>
      <c r="Z22" s="831"/>
      <c r="AA22" s="72"/>
    </row>
    <row r="23" spans="2:27" ht="17.100000000000001" customHeight="1" thickTop="1" thickBot="1">
      <c r="B23" s="22"/>
      <c r="C23" s="33" t="s">
        <v>388</v>
      </c>
      <c r="D23" s="33"/>
      <c r="E23" s="33"/>
      <c r="F23" s="33"/>
      <c r="G23" s="33"/>
      <c r="H23" s="33"/>
      <c r="I23" s="33" t="s">
        <v>389</v>
      </c>
      <c r="J23" s="33"/>
      <c r="K23" s="33"/>
      <c r="L23" s="33"/>
      <c r="M23" s="33"/>
      <c r="N23" s="33"/>
      <c r="O23" s="33"/>
      <c r="P23" s="33"/>
      <c r="Q23" s="33"/>
      <c r="R23" s="33"/>
      <c r="S23" s="33"/>
      <c r="T23" s="33"/>
      <c r="U23" s="33"/>
      <c r="V23" s="33"/>
      <c r="W23" s="33"/>
      <c r="X23" s="33"/>
      <c r="Y23" s="830">
        <v>0</v>
      </c>
      <c r="Z23" s="831"/>
      <c r="AA23" s="72"/>
    </row>
    <row r="24" spans="2:27" ht="17.100000000000001" customHeight="1" thickTop="1" thickBot="1">
      <c r="B24" s="22"/>
      <c r="C24" s="33" t="s">
        <v>528</v>
      </c>
      <c r="D24" s="33"/>
      <c r="E24" s="33"/>
      <c r="F24" s="33"/>
      <c r="G24" s="33"/>
      <c r="H24" s="33"/>
      <c r="I24" s="529" t="s">
        <v>572</v>
      </c>
      <c r="J24" s="33"/>
      <c r="K24" s="33"/>
      <c r="L24" s="33"/>
      <c r="M24" s="33"/>
      <c r="N24" s="33"/>
      <c r="O24" s="33"/>
      <c r="P24" s="33"/>
      <c r="Q24" s="33"/>
      <c r="R24" s="33"/>
      <c r="S24" s="33"/>
      <c r="T24" s="33"/>
      <c r="U24" s="33"/>
      <c r="V24" s="33"/>
      <c r="W24" s="33"/>
      <c r="X24" s="33"/>
      <c r="Y24" s="830">
        <v>1</v>
      </c>
      <c r="Z24" s="831"/>
      <c r="AA24" s="72"/>
    </row>
    <row r="25" spans="2:27" ht="17.100000000000001" customHeight="1" thickTop="1">
      <c r="C25" s="24"/>
      <c r="Y25" s="840">
        <f>SUM(Y18:Y24)</f>
        <v>1</v>
      </c>
      <c r="Z25" s="840"/>
      <c r="AA25" s="72" t="s">
        <v>573</v>
      </c>
    </row>
    <row r="26" spans="2:27" ht="17.100000000000001" customHeight="1" thickBot="1">
      <c r="B26" s="27" t="s">
        <v>216</v>
      </c>
      <c r="C26" s="29"/>
      <c r="D26" s="29"/>
      <c r="E26" s="29"/>
      <c r="F26" s="29"/>
      <c r="G26" s="29"/>
      <c r="H26" s="29"/>
      <c r="I26" s="29"/>
      <c r="J26" s="29"/>
      <c r="K26" s="29"/>
      <c r="L26" s="29"/>
      <c r="M26" s="29"/>
      <c r="N26" s="28"/>
      <c r="O26" s="28"/>
      <c r="P26" s="28"/>
      <c r="Q26" s="28"/>
      <c r="R26" s="28"/>
      <c r="S26" s="28"/>
      <c r="T26" s="28"/>
    </row>
    <row r="27" spans="2:27" ht="6" customHeight="1"/>
    <row r="28" spans="2:27" ht="17.100000000000001" customHeight="1" thickBot="1">
      <c r="B28" s="22" t="s">
        <v>390</v>
      </c>
    </row>
    <row r="29" spans="2:27" ht="17.100000000000001" customHeight="1" thickTop="1" thickBot="1">
      <c r="C29" s="31" t="s">
        <v>391</v>
      </c>
      <c r="D29" s="31"/>
      <c r="E29" s="31"/>
      <c r="F29" s="31"/>
      <c r="G29" s="31"/>
      <c r="H29" s="31"/>
      <c r="I29" s="31"/>
      <c r="J29" s="31"/>
      <c r="K29" s="31"/>
      <c r="L29" s="31"/>
      <c r="M29" s="31"/>
      <c r="N29" s="32"/>
      <c r="O29" s="32"/>
      <c r="P29" s="32"/>
      <c r="Q29" s="32"/>
      <c r="R29" s="32"/>
      <c r="S29" s="32"/>
      <c r="T29" s="32"/>
      <c r="U29" s="32"/>
      <c r="V29" s="32"/>
      <c r="W29" s="32"/>
      <c r="X29" s="31"/>
      <c r="Y29" s="841">
        <v>0</v>
      </c>
      <c r="Z29" s="842"/>
      <c r="AA29" s="22" t="s">
        <v>213</v>
      </c>
    </row>
    <row r="30" spans="2:27" ht="17.100000000000001" customHeight="1" thickTop="1" thickBot="1">
      <c r="C30" s="33" t="s">
        <v>392</v>
      </c>
      <c r="D30" s="33"/>
      <c r="E30" s="33"/>
      <c r="F30" s="33"/>
      <c r="G30" s="33"/>
      <c r="H30" s="33"/>
      <c r="I30" s="33"/>
      <c r="J30" s="33"/>
      <c r="K30" s="33"/>
      <c r="L30" s="33"/>
      <c r="M30" s="33"/>
      <c r="N30" s="34"/>
      <c r="O30" s="34"/>
      <c r="P30" s="34"/>
      <c r="Q30" s="34"/>
      <c r="R30" s="34"/>
      <c r="S30" s="34"/>
      <c r="T30" s="34"/>
      <c r="U30" s="34"/>
      <c r="V30" s="34"/>
      <c r="W30" s="34"/>
      <c r="X30" s="33"/>
      <c r="Y30" s="832">
        <v>0</v>
      </c>
      <c r="Z30" s="833"/>
      <c r="AA30" s="22" t="s">
        <v>213</v>
      </c>
    </row>
    <row r="31" spans="2:27" ht="17.100000000000001" customHeight="1" thickTop="1" thickBot="1">
      <c r="C31" s="33" t="s">
        <v>393</v>
      </c>
      <c r="D31" s="33"/>
      <c r="E31" s="33"/>
      <c r="F31" s="33"/>
      <c r="G31" s="33"/>
      <c r="H31" s="33"/>
      <c r="I31" s="33"/>
      <c r="J31" s="33"/>
      <c r="K31" s="33"/>
      <c r="L31" s="33"/>
      <c r="M31" s="33"/>
      <c r="N31" s="34"/>
      <c r="O31" s="34"/>
      <c r="P31" s="34"/>
      <c r="Q31" s="34"/>
      <c r="R31" s="34"/>
      <c r="S31" s="34"/>
      <c r="T31" s="34"/>
      <c r="U31" s="34"/>
      <c r="V31" s="34"/>
      <c r="W31" s="34"/>
      <c r="X31" s="33"/>
      <c r="Y31" s="841">
        <v>0</v>
      </c>
      <c r="Z31" s="842"/>
      <c r="AA31" s="22" t="s">
        <v>213</v>
      </c>
    </row>
    <row r="32" spans="2:27" ht="17.100000000000001" customHeight="1" thickTop="1" thickBot="1">
      <c r="C32" s="33" t="s">
        <v>408</v>
      </c>
      <c r="D32" s="33"/>
      <c r="E32" s="33"/>
      <c r="F32" s="33"/>
      <c r="G32" s="33"/>
      <c r="H32" s="33"/>
      <c r="I32" s="33"/>
      <c r="J32" s="33"/>
      <c r="K32" s="33"/>
      <c r="L32" s="33"/>
      <c r="M32" s="33"/>
      <c r="N32" s="34"/>
      <c r="O32" s="34"/>
      <c r="P32" s="34"/>
      <c r="Q32" s="34"/>
      <c r="R32" s="34"/>
      <c r="S32" s="34"/>
      <c r="T32" s="34"/>
      <c r="U32" s="34"/>
      <c r="V32" s="34"/>
      <c r="W32" s="34"/>
      <c r="X32" s="34"/>
      <c r="Y32" s="841">
        <v>0</v>
      </c>
      <c r="Z32" s="842"/>
      <c r="AA32" s="22" t="s">
        <v>212</v>
      </c>
    </row>
    <row r="33" spans="2:30" ht="17.100000000000001" customHeight="1" thickTop="1">
      <c r="Z33" s="98"/>
      <c r="AA33" s="22"/>
      <c r="AB33" s="25"/>
    </row>
    <row r="34" spans="2:30" ht="17.100000000000001" customHeight="1" thickBot="1">
      <c r="B34" s="27" t="s">
        <v>294</v>
      </c>
      <c r="C34" s="29"/>
      <c r="D34" s="29"/>
      <c r="E34" s="29"/>
      <c r="F34" s="29"/>
      <c r="G34" s="29"/>
      <c r="H34" s="29"/>
      <c r="I34" s="29"/>
      <c r="J34" s="29"/>
      <c r="K34" s="29"/>
      <c r="L34" s="29"/>
      <c r="M34" s="29"/>
      <c r="N34" s="28"/>
      <c r="O34" s="28"/>
      <c r="P34" s="28"/>
      <c r="Q34" s="28"/>
      <c r="R34" s="28"/>
      <c r="S34" s="28"/>
      <c r="T34" s="28"/>
    </row>
    <row r="35" spans="2:30" ht="6" customHeight="1">
      <c r="C35" s="79"/>
      <c r="D35" s="79"/>
      <c r="E35" s="79"/>
      <c r="F35" s="79"/>
      <c r="G35" s="79"/>
      <c r="H35" s="79"/>
      <c r="I35" s="79"/>
      <c r="J35" s="79"/>
      <c r="K35" s="79"/>
      <c r="L35" s="79"/>
      <c r="M35" s="79"/>
      <c r="N35" s="77"/>
      <c r="O35" s="77"/>
      <c r="P35" s="77"/>
      <c r="Q35" s="77"/>
      <c r="R35" s="77"/>
      <c r="S35" s="77"/>
      <c r="T35" s="77"/>
    </row>
    <row r="36" spans="2:30" ht="17.100000000000001" customHeight="1">
      <c r="B36" s="22" t="s">
        <v>409</v>
      </c>
    </row>
    <row r="37" spans="2:30" ht="16.5" customHeight="1" thickBot="1">
      <c r="C37" s="22" t="s">
        <v>295</v>
      </c>
    </row>
    <row r="38" spans="2:30" ht="16.5" customHeight="1" thickTop="1" thickBot="1">
      <c r="C38" s="103" t="s">
        <v>417</v>
      </c>
      <c r="D38" s="31"/>
      <c r="E38" s="31"/>
      <c r="F38" s="31"/>
      <c r="G38" s="31"/>
      <c r="H38" s="31"/>
      <c r="I38" s="31"/>
      <c r="J38" s="31"/>
      <c r="K38" s="31"/>
      <c r="L38" s="31"/>
      <c r="M38" s="31"/>
      <c r="N38" s="32"/>
      <c r="O38" s="32"/>
      <c r="P38" s="32"/>
      <c r="Q38" s="32"/>
      <c r="R38" s="32"/>
      <c r="S38" s="32"/>
      <c r="T38" s="32"/>
      <c r="U38" s="32"/>
      <c r="V38" s="32"/>
      <c r="W38" s="32"/>
      <c r="X38" s="32"/>
      <c r="Y38" s="841">
        <v>0</v>
      </c>
      <c r="Z38" s="842"/>
      <c r="AA38" s="22" t="s">
        <v>383</v>
      </c>
    </row>
    <row r="39" spans="2:30" ht="17.100000000000001" customHeight="1" thickTop="1" thickBot="1">
      <c r="B39" s="27" t="s">
        <v>658</v>
      </c>
      <c r="C39" s="29"/>
      <c r="D39" s="29"/>
      <c r="E39" s="29"/>
      <c r="F39" s="29"/>
      <c r="G39" s="29"/>
      <c r="H39" s="29"/>
      <c r="I39" s="29"/>
      <c r="J39" s="29"/>
      <c r="K39" s="29"/>
      <c r="L39" s="29"/>
      <c r="M39" s="29"/>
      <c r="N39" s="28"/>
      <c r="O39" s="28"/>
      <c r="P39" s="28"/>
      <c r="Q39" s="28"/>
      <c r="R39" s="28"/>
      <c r="S39" s="28"/>
      <c r="T39" s="28"/>
    </row>
    <row r="40" spans="2:30" ht="8.1" customHeight="1"/>
    <row r="41" spans="2:30" ht="17.100000000000001" customHeight="1">
      <c r="B41" s="22" t="s">
        <v>232</v>
      </c>
    </row>
    <row r="42" spans="2:30" ht="17.100000000000001" customHeight="1" thickBot="1">
      <c r="C42" s="22" t="s">
        <v>410</v>
      </c>
      <c r="Y42"/>
      <c r="Z42"/>
      <c r="AD42" s="73"/>
    </row>
    <row r="43" spans="2:30" ht="17.100000000000001" customHeight="1" thickTop="1" thickBot="1">
      <c r="C43" s="31" t="s">
        <v>411</v>
      </c>
      <c r="D43" s="31"/>
      <c r="E43" s="31"/>
      <c r="F43" s="31"/>
      <c r="G43" s="31"/>
      <c r="H43" s="31"/>
      <c r="I43" s="31"/>
      <c r="J43" s="31"/>
      <c r="K43" s="31"/>
      <c r="L43" s="31"/>
      <c r="M43" s="31"/>
      <c r="N43" s="32"/>
      <c r="O43" s="32"/>
      <c r="P43" s="32"/>
      <c r="Q43" s="32"/>
      <c r="R43" s="32"/>
      <c r="S43" s="32"/>
      <c r="T43" s="32"/>
      <c r="U43" s="32"/>
      <c r="V43" s="32"/>
      <c r="W43" s="32"/>
      <c r="X43" s="32"/>
      <c r="Y43" s="841">
        <v>3</v>
      </c>
      <c r="Z43" s="842"/>
      <c r="AA43" s="22" t="s">
        <v>217</v>
      </c>
    </row>
    <row r="44" spans="2:30" ht="17.100000000000001" customHeight="1" thickTop="1" thickBot="1">
      <c r="C44" s="22" t="s">
        <v>412</v>
      </c>
      <c r="Y44"/>
      <c r="Z44"/>
      <c r="AA44" s="22"/>
    </row>
    <row r="45" spans="2:30" ht="17.100000000000001" customHeight="1" thickTop="1" thickBot="1">
      <c r="C45" s="31" t="s">
        <v>413</v>
      </c>
      <c r="D45" s="31"/>
      <c r="E45" s="31"/>
      <c r="F45" s="31"/>
      <c r="G45" s="31"/>
      <c r="H45" s="31"/>
      <c r="I45" s="31"/>
      <c r="J45" s="31"/>
      <c r="K45" s="31"/>
      <c r="L45" s="31"/>
      <c r="M45" s="31"/>
      <c r="N45" s="32"/>
      <c r="O45" s="32"/>
      <c r="P45" s="32"/>
      <c r="Q45" s="32"/>
      <c r="R45" s="32"/>
      <c r="S45" s="32"/>
      <c r="T45" s="32"/>
      <c r="U45" s="32"/>
      <c r="V45" s="32"/>
      <c r="W45" s="32"/>
      <c r="X45" s="32"/>
      <c r="Y45" s="841">
        <v>0</v>
      </c>
      <c r="Z45" s="842"/>
      <c r="AA45" s="22" t="s">
        <v>218</v>
      </c>
      <c r="AC45" s="22"/>
    </row>
    <row r="46" spans="2:30" ht="17.100000000000001" customHeight="1" thickTop="1">
      <c r="C46" s="22" t="s">
        <v>414</v>
      </c>
      <c r="Y46"/>
      <c r="Z46"/>
      <c r="AA46" s="22"/>
    </row>
    <row r="47" spans="2:30" ht="17.100000000000001" customHeight="1" thickBot="1">
      <c r="C47" s="22" t="s">
        <v>453</v>
      </c>
      <c r="AC47" s="22"/>
    </row>
    <row r="48" spans="2:30" ht="17.100000000000001" customHeight="1" thickTop="1" thickBot="1">
      <c r="C48" s="104" t="s">
        <v>454</v>
      </c>
      <c r="D48" s="104"/>
      <c r="E48" s="104"/>
      <c r="F48" s="104"/>
      <c r="G48" s="104"/>
      <c r="H48" s="104"/>
      <c r="I48" s="104"/>
      <c r="J48" s="104"/>
      <c r="K48" s="104"/>
      <c r="L48" s="104"/>
      <c r="M48" s="104"/>
      <c r="N48" s="105"/>
      <c r="O48" s="105"/>
      <c r="P48" s="105"/>
      <c r="Q48" s="105"/>
      <c r="R48" s="105"/>
      <c r="S48" s="105"/>
      <c r="T48" s="105"/>
      <c r="U48" s="105"/>
      <c r="V48" s="105"/>
      <c r="W48" s="105"/>
      <c r="X48" s="105"/>
      <c r="Y48" s="841">
        <v>0</v>
      </c>
      <c r="Z48" s="842"/>
      <c r="AA48" s="22" t="s">
        <v>218</v>
      </c>
      <c r="AC48" s="22"/>
    </row>
    <row r="49" spans="2:36" ht="17.100000000000001" customHeight="1" thickTop="1">
      <c r="Y49" s="98"/>
      <c r="Z49" s="98"/>
      <c r="AA49" s="22"/>
      <c r="AC49" s="22"/>
    </row>
    <row r="50" spans="2:36" ht="17.25">
      <c r="B50" s="827" t="s">
        <v>224</v>
      </c>
      <c r="C50" s="828"/>
      <c r="D50" s="828"/>
      <c r="E50" s="828"/>
      <c r="F50" s="828"/>
      <c r="G50" s="828"/>
      <c r="H50" s="828"/>
      <c r="I50" s="828"/>
      <c r="J50" s="828"/>
      <c r="K50" s="828"/>
      <c r="L50" s="828"/>
      <c r="M50" s="828"/>
      <c r="N50" s="828"/>
      <c r="O50" s="828"/>
      <c r="P50" s="828"/>
      <c r="Q50" s="828"/>
      <c r="R50" s="828"/>
      <c r="S50" s="828"/>
      <c r="T50" s="828"/>
      <c r="U50" s="828"/>
      <c r="V50" s="828"/>
      <c r="W50" s="828"/>
      <c r="X50" s="828"/>
      <c r="Y50" s="828"/>
      <c r="Z50" s="828"/>
      <c r="AA50" s="828"/>
      <c r="AB50" s="828"/>
      <c r="AC50" s="828"/>
      <c r="AD50" s="828"/>
      <c r="AE50" s="828"/>
      <c r="AF50" s="828"/>
      <c r="AG50" s="828"/>
      <c r="AH50" s="828"/>
      <c r="AI50" s="828"/>
      <c r="AJ50" s="829"/>
    </row>
    <row r="51" spans="2:36" customFormat="1" ht="8.1" customHeight="1">
      <c r="C51" s="99"/>
      <c r="D51" s="99"/>
      <c r="E51" s="99"/>
      <c r="F51" s="99"/>
      <c r="G51" s="99"/>
      <c r="H51" s="99"/>
      <c r="I51" s="99"/>
      <c r="J51" s="99"/>
      <c r="K51" s="99"/>
      <c r="L51" s="99"/>
      <c r="M51" s="99"/>
    </row>
    <row r="52" spans="2:36" ht="17.100000000000001" customHeight="1" thickBot="1">
      <c r="B52" s="27" t="s">
        <v>302</v>
      </c>
      <c r="C52" s="29"/>
      <c r="D52" s="29"/>
      <c r="E52" s="29"/>
      <c r="F52" s="29"/>
      <c r="G52" s="29"/>
      <c r="H52" s="29"/>
      <c r="I52" s="29"/>
      <c r="J52" s="29"/>
      <c r="K52" s="29"/>
      <c r="L52" s="29"/>
      <c r="M52" s="29"/>
      <c r="N52" s="28"/>
      <c r="O52" s="28"/>
      <c r="P52" s="28"/>
      <c r="Q52" s="28"/>
      <c r="R52" s="28"/>
      <c r="S52" s="28"/>
      <c r="T52" s="28"/>
      <c r="U52" s="37"/>
      <c r="V52" s="37"/>
      <c r="W52" s="22"/>
    </row>
    <row r="53" spans="2:36" ht="8.1" customHeight="1">
      <c r="U53" s="37"/>
      <c r="V53" s="37"/>
      <c r="W53" s="22"/>
    </row>
    <row r="54" spans="2:36" ht="17.100000000000001" customHeight="1" thickBot="1">
      <c r="B54" s="22" t="s">
        <v>303</v>
      </c>
      <c r="U54" s="37"/>
      <c r="V54" s="37"/>
      <c r="W54" s="22"/>
    </row>
    <row r="55" spans="2:36" ht="17.100000000000001" customHeight="1" thickTop="1" thickBot="1">
      <c r="C55" s="31" t="s">
        <v>591</v>
      </c>
      <c r="D55" s="31"/>
      <c r="E55" s="31"/>
      <c r="F55" s="31"/>
      <c r="G55" s="31"/>
      <c r="H55" s="31"/>
      <c r="I55" s="31"/>
      <c r="J55" s="31"/>
      <c r="K55" s="31"/>
      <c r="L55" s="31"/>
      <c r="M55" s="31"/>
      <c r="N55" s="31"/>
      <c r="O55" s="31"/>
      <c r="P55" s="31"/>
      <c r="Q55" s="31"/>
      <c r="R55" s="31"/>
      <c r="S55" s="31"/>
      <c r="T55" s="31"/>
      <c r="U55" s="31"/>
      <c r="V55" s="31"/>
      <c r="W55" s="31"/>
      <c r="X55" s="31"/>
      <c r="Y55" s="830">
        <v>0</v>
      </c>
      <c r="Z55" s="831"/>
      <c r="AA55" s="72"/>
    </row>
    <row r="56" spans="2:36" ht="17.100000000000001" customHeight="1" thickTop="1" thickBot="1">
      <c r="C56" s="33" t="s">
        <v>304</v>
      </c>
      <c r="D56" s="33"/>
      <c r="E56" s="33"/>
      <c r="F56" s="33"/>
      <c r="G56" s="33"/>
      <c r="H56" s="33"/>
      <c r="I56" s="33"/>
      <c r="J56" s="33"/>
      <c r="K56" s="33"/>
      <c r="L56" s="33"/>
      <c r="M56" s="33"/>
      <c r="N56" s="33"/>
      <c r="O56" s="33"/>
      <c r="P56" s="33"/>
      <c r="Q56" s="33"/>
      <c r="R56" s="33"/>
      <c r="S56" s="33"/>
      <c r="T56" s="33"/>
      <c r="U56" s="33"/>
      <c r="V56" s="33"/>
      <c r="W56" s="33"/>
      <c r="X56" s="33"/>
      <c r="Y56" s="830">
        <v>0</v>
      </c>
      <c r="Z56" s="831"/>
      <c r="AA56" s="72"/>
    </row>
    <row r="57" spans="2:36" ht="17.100000000000001" customHeight="1" thickTop="1" thickBot="1">
      <c r="C57" s="33" t="s">
        <v>528</v>
      </c>
      <c r="D57" s="33"/>
      <c r="E57" s="97"/>
      <c r="F57" s="529" t="s">
        <v>615</v>
      </c>
      <c r="G57" s="33"/>
      <c r="H57" s="33"/>
      <c r="I57" s="33"/>
      <c r="J57" s="33"/>
      <c r="K57" s="33"/>
      <c r="L57" s="33"/>
      <c r="M57" s="33"/>
      <c r="N57" s="33"/>
      <c r="O57" s="33"/>
      <c r="P57" s="33"/>
      <c r="Q57" s="33"/>
      <c r="R57" s="33"/>
      <c r="S57" s="33"/>
      <c r="T57" s="33"/>
      <c r="U57" s="33"/>
      <c r="V57" s="33"/>
      <c r="W57" s="33"/>
      <c r="X57" s="33"/>
      <c r="Y57" s="830">
        <v>1</v>
      </c>
      <c r="Z57" s="831"/>
      <c r="AA57" s="72"/>
    </row>
    <row r="58" spans="2:36" ht="17.100000000000001" customHeight="1" thickTop="1">
      <c r="C58" s="24"/>
      <c r="Y58" s="840">
        <f>SUM(Y55:Y57)</f>
        <v>1</v>
      </c>
      <c r="Z58" s="840"/>
      <c r="AA58" s="72" t="s">
        <v>573</v>
      </c>
    </row>
    <row r="59" spans="2:36" ht="17.25">
      <c r="B59" s="827" t="s">
        <v>225</v>
      </c>
      <c r="C59" s="828"/>
      <c r="D59" s="828"/>
      <c r="E59" s="828"/>
      <c r="F59" s="828"/>
      <c r="G59" s="828"/>
      <c r="H59" s="828"/>
      <c r="I59" s="828"/>
      <c r="J59" s="828"/>
      <c r="K59" s="828"/>
      <c r="L59" s="828"/>
      <c r="M59" s="828"/>
      <c r="N59" s="828"/>
      <c r="O59" s="828"/>
      <c r="P59" s="828"/>
      <c r="Q59" s="828"/>
      <c r="R59" s="828"/>
      <c r="S59" s="828"/>
      <c r="T59" s="828"/>
      <c r="U59" s="828"/>
      <c r="V59" s="828"/>
      <c r="W59" s="828"/>
      <c r="X59" s="828"/>
      <c r="Y59" s="828"/>
      <c r="Z59" s="828"/>
      <c r="AA59" s="828"/>
      <c r="AB59" s="828"/>
      <c r="AC59" s="828"/>
      <c r="AD59" s="828"/>
      <c r="AE59" s="828"/>
      <c r="AF59" s="828"/>
      <c r="AG59" s="828"/>
      <c r="AH59" s="828"/>
      <c r="AI59" s="828"/>
      <c r="AJ59" s="829"/>
    </row>
    <row r="60" spans="2:36" customFormat="1" ht="8.1" customHeight="1">
      <c r="C60" s="99"/>
      <c r="D60" s="99"/>
      <c r="E60" s="99"/>
      <c r="F60" s="99"/>
      <c r="G60" s="99"/>
      <c r="H60" s="99"/>
      <c r="I60" s="99"/>
      <c r="J60" s="99"/>
      <c r="K60" s="99"/>
      <c r="L60" s="99"/>
      <c r="M60" s="99"/>
    </row>
    <row r="61" spans="2:36" ht="17.100000000000001" customHeight="1" thickBot="1">
      <c r="B61" s="27" t="s">
        <v>233</v>
      </c>
      <c r="C61" s="29"/>
      <c r="D61" s="29"/>
      <c r="E61" s="29"/>
      <c r="F61" s="29"/>
      <c r="G61" s="29"/>
      <c r="H61" s="29"/>
      <c r="I61" s="29"/>
      <c r="J61" s="29"/>
      <c r="K61" s="29"/>
      <c r="L61" s="29"/>
      <c r="M61" s="29"/>
      <c r="N61" s="28"/>
      <c r="O61" s="28"/>
      <c r="P61" s="28"/>
      <c r="Q61" s="28"/>
      <c r="R61" s="28"/>
      <c r="S61" s="28"/>
      <c r="T61" s="28"/>
      <c r="U61" s="37"/>
      <c r="V61" s="37"/>
      <c r="W61" s="22"/>
    </row>
    <row r="62" spans="2:36" ht="8.1" customHeight="1">
      <c r="R62" s="77"/>
      <c r="S62" s="77"/>
      <c r="T62" s="77"/>
      <c r="U62" s="37"/>
      <c r="V62" s="37"/>
      <c r="W62" s="22"/>
    </row>
    <row r="63" spans="2:36" ht="17.100000000000001" customHeight="1">
      <c r="B63" s="825" t="s">
        <v>223</v>
      </c>
      <c r="C63" s="826"/>
      <c r="D63" s="826"/>
      <c r="E63" s="826"/>
      <c r="F63" s="826"/>
      <c r="G63" s="826"/>
      <c r="H63" s="826"/>
      <c r="I63" s="826"/>
      <c r="J63" s="826"/>
      <c r="K63" s="826"/>
      <c r="L63" s="826"/>
      <c r="M63" s="826"/>
      <c r="N63" s="826"/>
      <c r="O63" s="826"/>
      <c r="P63" s="826"/>
      <c r="Q63" s="826"/>
      <c r="R63" s="826"/>
      <c r="S63" s="826"/>
      <c r="T63" s="826"/>
      <c r="U63" s="826"/>
      <c r="V63" s="826"/>
      <c r="W63" s="826"/>
      <c r="X63" s="826"/>
      <c r="Y63" s="826"/>
      <c r="Z63" s="826"/>
      <c r="AA63" s="826"/>
      <c r="AB63" s="826"/>
      <c r="AC63" s="826"/>
      <c r="AD63" s="826"/>
      <c r="AE63" s="826"/>
      <c r="AF63" s="826"/>
      <c r="AG63" s="826"/>
      <c r="AH63" s="826"/>
      <c r="AI63" s="826"/>
      <c r="AJ63" s="826"/>
    </row>
    <row r="64" spans="2:36" ht="17.100000000000001" customHeight="1" thickBot="1">
      <c r="B64" s="826"/>
      <c r="C64" s="826"/>
      <c r="D64" s="826"/>
      <c r="E64" s="826"/>
      <c r="F64" s="826"/>
      <c r="G64" s="826"/>
      <c r="H64" s="826"/>
      <c r="I64" s="826"/>
      <c r="J64" s="826"/>
      <c r="K64" s="826"/>
      <c r="L64" s="826"/>
      <c r="M64" s="826"/>
      <c r="N64" s="826"/>
      <c r="O64" s="826"/>
      <c r="P64" s="826"/>
      <c r="Q64" s="826"/>
      <c r="R64" s="826"/>
      <c r="S64" s="826"/>
      <c r="T64" s="826"/>
      <c r="U64" s="826"/>
      <c r="V64" s="826"/>
      <c r="W64" s="826"/>
      <c r="X64" s="826"/>
      <c r="Y64" s="826"/>
      <c r="Z64" s="826"/>
      <c r="AA64" s="826"/>
      <c r="AB64" s="826"/>
      <c r="AC64" s="826"/>
      <c r="AD64" s="826"/>
      <c r="AE64" s="826"/>
      <c r="AF64" s="826"/>
      <c r="AG64" s="826"/>
      <c r="AH64" s="826"/>
      <c r="AI64" s="826"/>
      <c r="AJ64" s="826"/>
    </row>
    <row r="65" spans="2:36" ht="17.100000000000001" customHeight="1" thickTop="1" thickBot="1">
      <c r="C65" s="31" t="s">
        <v>577</v>
      </c>
      <c r="D65" s="31"/>
      <c r="E65" s="31"/>
      <c r="F65" s="31"/>
      <c r="G65" s="31"/>
      <c r="H65" s="31"/>
      <c r="I65" s="31"/>
      <c r="J65" s="31"/>
      <c r="K65" s="31"/>
      <c r="L65" s="31"/>
      <c r="M65" s="31"/>
      <c r="N65" s="31"/>
      <c r="O65" s="31"/>
      <c r="P65" s="31"/>
      <c r="Q65" s="31"/>
      <c r="R65" s="32"/>
      <c r="S65" s="862">
        <v>0</v>
      </c>
      <c r="T65" s="863"/>
      <c r="U65" s="78" t="s">
        <v>219</v>
      </c>
      <c r="V65" s="32"/>
      <c r="W65" s="32"/>
      <c r="X65" s="58"/>
      <c r="Y65" s="849">
        <v>0</v>
      </c>
      <c r="Z65" s="850"/>
      <c r="AA65" s="72"/>
    </row>
    <row r="66" spans="2:36" ht="17.100000000000001" customHeight="1" thickTop="1" thickBot="1">
      <c r="C66" s="33" t="s">
        <v>656</v>
      </c>
      <c r="D66" s="33"/>
      <c r="E66" s="33"/>
      <c r="F66" s="33"/>
      <c r="G66" s="33"/>
      <c r="H66" s="33"/>
      <c r="I66" s="33"/>
      <c r="J66" s="33"/>
      <c r="K66" s="33"/>
      <c r="L66" s="33"/>
      <c r="M66" s="33"/>
      <c r="N66" s="33"/>
      <c r="O66" s="33"/>
      <c r="P66" s="33"/>
      <c r="Q66" s="33"/>
      <c r="R66" s="34"/>
      <c r="S66" s="864">
        <v>30</v>
      </c>
      <c r="T66" s="865"/>
      <c r="U66" s="61" t="s">
        <v>219</v>
      </c>
      <c r="V66" s="34"/>
      <c r="W66" s="34"/>
      <c r="X66" s="60"/>
      <c r="Y66" s="849">
        <v>1</v>
      </c>
      <c r="Z66" s="850"/>
      <c r="AA66" s="72"/>
    </row>
    <row r="67" spans="2:36" ht="17.100000000000001" customHeight="1" thickTop="1" thickBot="1">
      <c r="C67" s="33" t="s">
        <v>657</v>
      </c>
      <c r="D67" s="33"/>
      <c r="E67" s="33"/>
      <c r="F67" s="33"/>
      <c r="G67" s="33"/>
      <c r="H67" s="33"/>
      <c r="I67" s="33"/>
      <c r="J67" s="33"/>
      <c r="K67" s="33"/>
      <c r="L67" s="33"/>
      <c r="M67" s="33"/>
      <c r="N67" s="33"/>
      <c r="O67" s="33"/>
      <c r="P67" s="33"/>
      <c r="Q67" s="33"/>
      <c r="R67" s="34"/>
      <c r="S67" s="854">
        <v>0</v>
      </c>
      <c r="T67" s="855"/>
      <c r="U67" s="78" t="s">
        <v>219</v>
      </c>
      <c r="V67" s="34"/>
      <c r="W67" s="34"/>
      <c r="X67" s="60"/>
      <c r="Y67" s="836">
        <v>0</v>
      </c>
      <c r="Z67" s="837"/>
      <c r="AA67" s="72"/>
    </row>
    <row r="68" spans="2:36" ht="17.100000000000001" customHeight="1" thickTop="1" thickBot="1">
      <c r="C68" s="33" t="s">
        <v>305</v>
      </c>
      <c r="D68" s="33"/>
      <c r="E68" s="33"/>
      <c r="F68" s="33"/>
      <c r="G68" s="33"/>
      <c r="H68" s="33"/>
      <c r="I68" s="33"/>
      <c r="J68" s="33"/>
      <c r="K68" s="33"/>
      <c r="L68" s="33"/>
      <c r="M68" s="33"/>
      <c r="N68" s="33"/>
      <c r="O68" s="33"/>
      <c r="P68" s="33"/>
      <c r="Q68" s="33"/>
      <c r="S68" s="854">
        <v>0</v>
      </c>
      <c r="T68" s="855"/>
      <c r="U68" s="61" t="s">
        <v>219</v>
      </c>
      <c r="V68" s="34"/>
      <c r="W68" s="34"/>
      <c r="X68" s="60"/>
      <c r="Y68" s="836">
        <v>0</v>
      </c>
      <c r="Z68" s="837"/>
      <c r="AA68" s="72"/>
    </row>
    <row r="69" spans="2:36" ht="17.100000000000001" customHeight="1" thickTop="1" thickBot="1">
      <c r="C69" s="33" t="s">
        <v>528</v>
      </c>
      <c r="D69" s="33"/>
      <c r="E69" s="97"/>
      <c r="F69" s="529" t="s">
        <v>616</v>
      </c>
      <c r="G69" s="33"/>
      <c r="H69" s="33"/>
      <c r="I69" s="33"/>
      <c r="J69" s="33"/>
      <c r="K69" s="33"/>
      <c r="L69" s="33"/>
      <c r="M69" s="33"/>
      <c r="N69" s="33"/>
      <c r="O69" s="33"/>
      <c r="P69" s="33"/>
      <c r="Q69" s="33"/>
      <c r="R69" s="33"/>
      <c r="S69" s="854">
        <v>0</v>
      </c>
      <c r="T69" s="855"/>
      <c r="U69" s="78" t="s">
        <v>219</v>
      </c>
      <c r="V69" s="33"/>
      <c r="W69" s="33"/>
      <c r="X69" s="60"/>
      <c r="Y69" s="836">
        <v>0</v>
      </c>
      <c r="Z69" s="837"/>
      <c r="AA69" s="72"/>
    </row>
    <row r="70" spans="2:36" ht="17.100000000000001" customHeight="1" thickTop="1">
      <c r="N70" s="22"/>
      <c r="O70" s="22"/>
      <c r="P70" s="22"/>
      <c r="Q70" s="22"/>
      <c r="R70" s="35" t="s">
        <v>579</v>
      </c>
      <c r="S70" s="858">
        <f>(S65*Y65)+(S66*Y66)+(S67*Y67)+(S68*Y68)+(S69*Y69)</f>
        <v>30</v>
      </c>
      <c r="T70" s="859"/>
      <c r="U70" s="81" t="s">
        <v>219</v>
      </c>
      <c r="V70" s="76"/>
      <c r="W70" s="76"/>
      <c r="X70" s="76"/>
      <c r="Y70" s="840">
        <f>SUM(Y65:Y69)</f>
        <v>1</v>
      </c>
      <c r="Z70" s="840"/>
      <c r="AA70" s="72" t="s">
        <v>573</v>
      </c>
    </row>
    <row r="71" spans="2:36" ht="17.100000000000001" customHeight="1" thickBot="1">
      <c r="B71" s="27" t="s">
        <v>294</v>
      </c>
      <c r="C71" s="29"/>
      <c r="D71" s="29"/>
      <c r="E71" s="29"/>
      <c r="F71" s="29"/>
      <c r="G71" s="29"/>
      <c r="H71" s="29"/>
      <c r="I71" s="29"/>
      <c r="J71" s="29"/>
      <c r="K71" s="29"/>
      <c r="L71" s="29"/>
      <c r="M71" s="29"/>
      <c r="N71" s="28"/>
      <c r="O71" s="28"/>
      <c r="P71" s="28"/>
      <c r="Q71" s="28"/>
      <c r="R71" s="28"/>
      <c r="S71" s="28"/>
      <c r="T71" s="28"/>
    </row>
    <row r="72" spans="2:36" ht="6" customHeight="1"/>
    <row r="73" spans="2:36" ht="17.100000000000001" customHeight="1">
      <c r="B73" s="22" t="s">
        <v>455</v>
      </c>
    </row>
    <row r="74" spans="2:36" ht="17.100000000000001" customHeight="1" thickBot="1">
      <c r="C74" s="22" t="s">
        <v>576</v>
      </c>
    </row>
    <row r="75" spans="2:36" ht="17.100000000000001" customHeight="1" thickTop="1" thickBot="1">
      <c r="C75" s="103" t="s">
        <v>418</v>
      </c>
      <c r="D75" s="31"/>
      <c r="E75" s="31"/>
      <c r="F75" s="31"/>
      <c r="G75" s="31"/>
      <c r="H75" s="31"/>
      <c r="I75" s="31"/>
      <c r="J75" s="31"/>
      <c r="K75" s="31"/>
      <c r="L75" s="31"/>
      <c r="M75" s="31"/>
      <c r="N75" s="32"/>
      <c r="O75" s="32"/>
      <c r="P75" s="32"/>
      <c r="Q75" s="32"/>
      <c r="R75" s="32"/>
      <c r="S75" s="32"/>
      <c r="T75" s="32"/>
      <c r="U75" s="32"/>
      <c r="V75" s="32"/>
      <c r="W75" s="32"/>
      <c r="X75" s="32"/>
      <c r="Y75" s="841">
        <v>2</v>
      </c>
      <c r="Z75" s="842"/>
      <c r="AA75" s="22" t="s">
        <v>383</v>
      </c>
    </row>
    <row r="76" spans="2:36" ht="17.100000000000001" customHeight="1" thickTop="1" thickBot="1">
      <c r="B76" s="27" t="s">
        <v>296</v>
      </c>
      <c r="C76" s="29"/>
      <c r="D76" s="29"/>
      <c r="E76" s="29"/>
      <c r="F76" s="29"/>
      <c r="G76" s="29"/>
      <c r="H76" s="29"/>
      <c r="I76" s="29"/>
      <c r="J76" s="29"/>
      <c r="K76" s="29"/>
      <c r="L76" s="29"/>
      <c r="M76" s="29"/>
      <c r="N76" s="28"/>
      <c r="O76" s="28"/>
      <c r="P76" s="28"/>
      <c r="Q76" s="28"/>
      <c r="R76" s="28"/>
      <c r="S76" s="28"/>
      <c r="T76" s="28"/>
    </row>
    <row r="77" spans="2:36" ht="8.1" customHeight="1"/>
    <row r="78" spans="2:36" ht="17.100000000000001" customHeight="1">
      <c r="B78" s="825" t="s">
        <v>226</v>
      </c>
      <c r="C78" s="825"/>
      <c r="D78" s="825"/>
      <c r="E78" s="825"/>
      <c r="F78" s="825"/>
      <c r="G78" s="825"/>
      <c r="H78" s="825"/>
      <c r="I78" s="825"/>
      <c r="J78" s="825"/>
      <c r="K78" s="825"/>
      <c r="L78" s="825"/>
      <c r="M78" s="825"/>
      <c r="N78" s="825"/>
      <c r="O78" s="825"/>
      <c r="P78" s="825"/>
      <c r="Q78" s="825"/>
      <c r="R78" s="825"/>
      <c r="S78" s="825"/>
      <c r="T78" s="825"/>
      <c r="U78" s="825"/>
      <c r="V78" s="825"/>
      <c r="W78" s="825"/>
      <c r="X78" s="825"/>
      <c r="Y78" s="825"/>
      <c r="Z78" s="825"/>
      <c r="AA78" s="825"/>
      <c r="AB78" s="825"/>
      <c r="AC78" s="825"/>
      <c r="AD78" s="825"/>
      <c r="AE78" s="825"/>
      <c r="AF78" s="825"/>
      <c r="AG78" s="825"/>
      <c r="AH78" s="825"/>
      <c r="AI78" s="825"/>
      <c r="AJ78" s="825"/>
    </row>
    <row r="79" spans="2:36" ht="17.100000000000001" customHeight="1">
      <c r="B79" s="825"/>
      <c r="C79" s="825"/>
      <c r="D79" s="825"/>
      <c r="E79" s="825"/>
      <c r="F79" s="825"/>
      <c r="G79" s="825"/>
      <c r="H79" s="825"/>
      <c r="I79" s="825"/>
      <c r="J79" s="825"/>
      <c r="K79" s="825"/>
      <c r="L79" s="825"/>
      <c r="M79" s="825"/>
      <c r="N79" s="825"/>
      <c r="O79" s="825"/>
      <c r="P79" s="825"/>
      <c r="Q79" s="825"/>
      <c r="R79" s="825"/>
      <c r="S79" s="825"/>
      <c r="T79" s="825"/>
      <c r="U79" s="825"/>
      <c r="V79" s="825"/>
      <c r="W79" s="825"/>
      <c r="X79" s="825"/>
      <c r="Y79" s="825"/>
      <c r="Z79" s="825"/>
      <c r="AA79" s="825"/>
      <c r="AB79" s="825"/>
      <c r="AC79" s="825"/>
      <c r="AD79" s="825"/>
      <c r="AE79" s="825"/>
      <c r="AF79" s="825"/>
      <c r="AG79" s="825"/>
      <c r="AH79" s="825"/>
      <c r="AI79" s="825"/>
      <c r="AJ79" s="825"/>
    </row>
    <row r="80" spans="2:36" ht="17.100000000000001" customHeight="1" thickBot="1">
      <c r="B80" s="825"/>
      <c r="C80" s="825"/>
      <c r="D80" s="825"/>
      <c r="E80" s="825"/>
      <c r="F80" s="825"/>
      <c r="G80" s="825"/>
      <c r="H80" s="825"/>
      <c r="I80" s="825"/>
      <c r="J80" s="825"/>
      <c r="K80" s="825"/>
      <c r="L80" s="825"/>
      <c r="M80" s="825"/>
      <c r="N80" s="825"/>
      <c r="O80" s="825"/>
      <c r="P80" s="825"/>
      <c r="Q80" s="825"/>
      <c r="R80" s="825"/>
      <c r="S80" s="825"/>
      <c r="T80" s="825"/>
      <c r="U80" s="825"/>
      <c r="V80" s="825"/>
      <c r="W80" s="825"/>
      <c r="X80" s="825"/>
      <c r="Y80" s="825"/>
      <c r="Z80" s="825"/>
      <c r="AA80" s="825"/>
      <c r="AB80" s="825"/>
      <c r="AC80" s="825"/>
      <c r="AD80" s="825"/>
      <c r="AE80" s="825"/>
      <c r="AF80" s="825"/>
      <c r="AG80" s="825"/>
      <c r="AH80" s="825"/>
      <c r="AI80" s="825"/>
      <c r="AJ80" s="825"/>
    </row>
    <row r="81" spans="2:31" ht="17.100000000000001" customHeight="1" thickTop="1" thickBot="1">
      <c r="C81" s="31" t="s">
        <v>326</v>
      </c>
      <c r="D81" s="31"/>
      <c r="E81" s="31"/>
      <c r="F81" s="31"/>
      <c r="G81" s="31"/>
      <c r="H81" s="31"/>
      <c r="I81" s="31"/>
      <c r="J81" s="31"/>
      <c r="K81" s="31"/>
      <c r="L81" s="31"/>
      <c r="M81" s="31"/>
      <c r="N81" s="31"/>
      <c r="O81" s="31"/>
      <c r="P81" s="31"/>
      <c r="Q81" s="32"/>
      <c r="R81" s="32"/>
      <c r="S81" s="866">
        <v>0</v>
      </c>
      <c r="T81" s="867"/>
      <c r="U81" s="61" t="s">
        <v>219</v>
      </c>
      <c r="V81" s="34"/>
      <c r="W81" s="34"/>
      <c r="X81" s="60"/>
      <c r="Y81" s="836">
        <v>0</v>
      </c>
      <c r="Z81" s="837"/>
      <c r="AA81" s="72"/>
    </row>
    <row r="82" spans="2:31" ht="17.100000000000001" customHeight="1" thickTop="1" thickBot="1">
      <c r="C82" s="33" t="s">
        <v>327</v>
      </c>
      <c r="D82" s="33"/>
      <c r="E82" s="33"/>
      <c r="F82" s="33"/>
      <c r="G82" s="33"/>
      <c r="H82" s="33"/>
      <c r="I82" s="33"/>
      <c r="J82" s="33"/>
      <c r="K82" s="33"/>
      <c r="L82" s="33"/>
      <c r="M82" s="33"/>
      <c r="N82" s="33"/>
      <c r="O82" s="33"/>
      <c r="P82" s="33"/>
      <c r="Q82" s="34"/>
      <c r="R82" s="34"/>
      <c r="S82" s="847">
        <v>0</v>
      </c>
      <c r="T82" s="848"/>
      <c r="U82" s="78" t="s">
        <v>219</v>
      </c>
      <c r="V82" s="34"/>
      <c r="W82" s="34"/>
      <c r="X82" s="60"/>
      <c r="Y82" s="836">
        <v>0</v>
      </c>
      <c r="Z82" s="837"/>
      <c r="AA82" s="72"/>
    </row>
    <row r="83" spans="2:31" ht="17.100000000000001" customHeight="1" thickTop="1" thickBot="1">
      <c r="C83" s="33" t="s">
        <v>328</v>
      </c>
      <c r="D83" s="33"/>
      <c r="E83" s="33"/>
      <c r="F83" s="33"/>
      <c r="G83" s="33"/>
      <c r="H83" s="33"/>
      <c r="I83" s="33"/>
      <c r="J83" s="33"/>
      <c r="K83" s="33"/>
      <c r="L83" s="33"/>
      <c r="M83" s="33"/>
      <c r="N83" s="33"/>
      <c r="O83" s="33"/>
      <c r="P83" s="33"/>
      <c r="Q83" s="34"/>
      <c r="R83" s="34"/>
      <c r="S83" s="845">
        <v>30</v>
      </c>
      <c r="T83" s="846"/>
      <c r="U83" s="61" t="s">
        <v>219</v>
      </c>
      <c r="V83" s="34"/>
      <c r="W83" s="34"/>
      <c r="X83" s="60"/>
      <c r="Y83" s="849">
        <v>1</v>
      </c>
      <c r="Z83" s="850"/>
      <c r="AA83" s="72"/>
    </row>
    <row r="84" spans="2:31" ht="17.100000000000001" customHeight="1" thickTop="1">
      <c r="C84" s="24"/>
      <c r="N84" s="22"/>
      <c r="O84" s="22"/>
      <c r="P84" s="22"/>
      <c r="R84" s="35" t="s">
        <v>579</v>
      </c>
      <c r="S84" s="852">
        <f>(S81*Y81)+(S82*Y82)+(S83*Y83)</f>
        <v>30</v>
      </c>
      <c r="T84" s="853"/>
      <c r="U84" s="81" t="s">
        <v>219</v>
      </c>
      <c r="V84" s="81"/>
      <c r="W84" s="81"/>
      <c r="X84" s="81"/>
      <c r="Y84" s="840">
        <f>SUM(Y81:Z83)</f>
        <v>1</v>
      </c>
      <c r="Z84" s="840"/>
      <c r="AA84" s="72" t="s">
        <v>573</v>
      </c>
    </row>
    <row r="85" spans="2:31" ht="17.100000000000001" customHeight="1" thickBot="1">
      <c r="B85" s="27" t="s">
        <v>524</v>
      </c>
      <c r="C85" s="29"/>
      <c r="D85" s="29"/>
      <c r="E85" s="29"/>
      <c r="F85" s="29"/>
      <c r="G85" s="29"/>
      <c r="H85" s="29"/>
      <c r="I85" s="28" t="s">
        <v>564</v>
      </c>
      <c r="J85" s="29"/>
      <c r="K85" s="29"/>
      <c r="L85" s="29"/>
      <c r="M85" s="28"/>
      <c r="N85" s="28"/>
      <c r="O85" s="28"/>
      <c r="P85" s="28"/>
      <c r="Q85" s="28"/>
      <c r="R85" s="28"/>
      <c r="S85" s="28"/>
    </row>
    <row r="86" spans="2:31" ht="8.1" customHeight="1">
      <c r="C86" s="79"/>
      <c r="D86" s="79"/>
      <c r="E86" s="79"/>
      <c r="F86" s="79"/>
      <c r="G86" s="79"/>
      <c r="H86" s="79"/>
      <c r="I86" s="79"/>
      <c r="J86" s="79"/>
      <c r="K86" s="79"/>
      <c r="L86" s="79"/>
      <c r="M86" s="77"/>
      <c r="N86" s="77"/>
      <c r="O86" s="77"/>
      <c r="P86" s="77"/>
      <c r="Q86" s="77"/>
      <c r="R86" s="77"/>
      <c r="S86" s="77"/>
    </row>
    <row r="87" spans="2:31" ht="17.100000000000001" customHeight="1" thickBot="1">
      <c r="B87" s="22" t="s">
        <v>229</v>
      </c>
      <c r="M87" s="21"/>
    </row>
    <row r="88" spans="2:31" ht="17.100000000000001" customHeight="1" thickTop="1" thickBot="1">
      <c r="C88" s="31" t="s">
        <v>562</v>
      </c>
      <c r="D88" s="31"/>
      <c r="E88" s="31"/>
      <c r="F88" s="31"/>
      <c r="G88" s="31"/>
      <c r="H88" s="31"/>
      <c r="I88" s="31" t="s">
        <v>565</v>
      </c>
      <c r="J88" s="31"/>
      <c r="K88" s="31"/>
      <c r="L88" s="31"/>
      <c r="M88" s="31"/>
      <c r="N88" s="31"/>
      <c r="O88" s="31"/>
      <c r="P88" s="31"/>
      <c r="Q88" s="31"/>
      <c r="R88" s="31"/>
      <c r="S88" s="31"/>
      <c r="T88" s="31"/>
      <c r="U88" s="31"/>
      <c r="V88" s="31"/>
      <c r="W88" s="31"/>
      <c r="X88" s="31"/>
      <c r="Y88" s="836">
        <v>1</v>
      </c>
      <c r="Z88" s="837"/>
      <c r="AA88" s="72"/>
    </row>
    <row r="89" spans="2:31" ht="17.100000000000001" customHeight="1" thickTop="1" thickBot="1">
      <c r="C89" s="33" t="s">
        <v>387</v>
      </c>
      <c r="D89" s="33"/>
      <c r="E89" s="33"/>
      <c r="F89" s="33"/>
      <c r="G89" s="33"/>
      <c r="H89" s="33"/>
      <c r="I89" s="33" t="s">
        <v>571</v>
      </c>
      <c r="J89" s="33"/>
      <c r="K89" s="33"/>
      <c r="L89" s="33"/>
      <c r="M89" s="33"/>
      <c r="N89" s="33"/>
      <c r="O89" s="33"/>
      <c r="P89" s="33"/>
      <c r="Q89" s="33"/>
      <c r="R89" s="33"/>
      <c r="S89" s="33"/>
      <c r="T89" s="33"/>
      <c r="U89" s="33"/>
      <c r="V89" s="33"/>
      <c r="W89" s="33"/>
      <c r="X89" s="33"/>
      <c r="Y89" s="830">
        <v>0</v>
      </c>
      <c r="Z89" s="831"/>
      <c r="AA89" s="72"/>
    </row>
    <row r="90" spans="2:31" ht="17.100000000000001" customHeight="1" thickTop="1" thickBot="1">
      <c r="C90" s="33" t="s">
        <v>388</v>
      </c>
      <c r="D90" s="33"/>
      <c r="E90" s="33"/>
      <c r="F90" s="33"/>
      <c r="G90" s="33"/>
      <c r="H90" s="33"/>
      <c r="I90" s="33" t="s">
        <v>456</v>
      </c>
      <c r="J90" s="33"/>
      <c r="K90" s="33"/>
      <c r="L90" s="33"/>
      <c r="M90" s="33"/>
      <c r="N90" s="33"/>
      <c r="O90" s="33"/>
      <c r="P90" s="33"/>
      <c r="Q90" s="33"/>
      <c r="R90" s="33"/>
      <c r="S90" s="33"/>
      <c r="T90" s="33"/>
      <c r="U90" s="33"/>
      <c r="V90" s="33"/>
      <c r="W90" s="33"/>
      <c r="X90" s="33"/>
      <c r="Y90" s="830">
        <v>0</v>
      </c>
      <c r="Z90" s="831"/>
      <c r="AA90" s="72"/>
    </row>
    <row r="91" spans="2:31" ht="17.100000000000001" customHeight="1" thickTop="1" thickBot="1">
      <c r="C91" s="33" t="s">
        <v>528</v>
      </c>
      <c r="D91" s="33"/>
      <c r="E91" s="33"/>
      <c r="F91" s="33"/>
      <c r="G91" s="33"/>
      <c r="H91" s="33"/>
      <c r="I91" s="529" t="s">
        <v>572</v>
      </c>
      <c r="J91" s="33"/>
      <c r="K91" s="33"/>
      <c r="L91" s="33"/>
      <c r="M91" s="33"/>
      <c r="N91" s="33"/>
      <c r="O91" s="33"/>
      <c r="P91" s="33"/>
      <c r="Q91" s="33"/>
      <c r="R91" s="33"/>
      <c r="S91" s="33"/>
      <c r="T91" s="33"/>
      <c r="U91" s="33"/>
      <c r="V91" s="33"/>
      <c r="W91" s="33"/>
      <c r="X91" s="33"/>
      <c r="Y91" s="830">
        <v>0</v>
      </c>
      <c r="Z91" s="831"/>
      <c r="AA91" s="72"/>
    </row>
    <row r="92" spans="2:31" ht="17.100000000000001" customHeight="1" thickTop="1">
      <c r="C92" s="24"/>
      <c r="Y92" s="851">
        <f>SUM(Y88:Y91)</f>
        <v>1</v>
      </c>
      <c r="Z92" s="851"/>
      <c r="AA92" s="72" t="s">
        <v>573</v>
      </c>
    </row>
    <row r="93" spans="2:31" ht="17.100000000000001" customHeight="1" thickBot="1">
      <c r="B93" s="27" t="s">
        <v>216</v>
      </c>
      <c r="C93" s="29"/>
      <c r="D93" s="29"/>
      <c r="E93" s="29"/>
      <c r="F93" s="29"/>
      <c r="G93" s="29"/>
      <c r="H93" s="29"/>
      <c r="I93" s="29"/>
      <c r="J93" s="29"/>
      <c r="K93" s="29"/>
      <c r="L93" s="29"/>
      <c r="M93" s="29"/>
      <c r="N93" s="28"/>
      <c r="O93" s="28"/>
      <c r="P93" s="28"/>
      <c r="Q93" s="28"/>
      <c r="R93" s="28"/>
      <c r="S93" s="28"/>
      <c r="T93" s="28"/>
    </row>
    <row r="94" spans="2:31" ht="8.1" customHeight="1"/>
    <row r="95" spans="2:31" ht="17.100000000000001" customHeight="1" thickBot="1">
      <c r="B95" s="22" t="s">
        <v>457</v>
      </c>
    </row>
    <row r="96" spans="2:31" ht="17.100000000000001" customHeight="1" thickTop="1" thickBot="1">
      <c r="C96" s="31" t="s">
        <v>391</v>
      </c>
      <c r="D96" s="31"/>
      <c r="E96" s="31"/>
      <c r="F96" s="31"/>
      <c r="G96" s="31"/>
      <c r="H96" s="31"/>
      <c r="I96" s="31"/>
      <c r="J96" s="31"/>
      <c r="K96" s="31"/>
      <c r="L96" s="31"/>
      <c r="M96" s="31"/>
      <c r="N96" s="31"/>
      <c r="O96" s="31"/>
      <c r="P96" s="31"/>
      <c r="Q96" s="31"/>
      <c r="R96" s="31"/>
      <c r="S96" s="31"/>
      <c r="T96" s="31"/>
      <c r="U96" s="31"/>
      <c r="V96" s="31"/>
      <c r="W96" s="31"/>
      <c r="X96" s="22"/>
      <c r="Y96" s="841">
        <v>1</v>
      </c>
      <c r="Z96" s="842"/>
      <c r="AA96" s="22" t="s">
        <v>220</v>
      </c>
      <c r="AB96" s="22"/>
      <c r="AC96" s="22"/>
      <c r="AD96" s="36"/>
      <c r="AE96" s="22"/>
    </row>
    <row r="97" spans="2:31" ht="17.100000000000001" customHeight="1" thickTop="1" thickBot="1">
      <c r="C97" s="33" t="s">
        <v>392</v>
      </c>
      <c r="D97" s="33"/>
      <c r="E97" s="33"/>
      <c r="F97" s="33"/>
      <c r="G97" s="33"/>
      <c r="H97" s="33"/>
      <c r="I97" s="33"/>
      <c r="J97" s="33"/>
      <c r="K97" s="33"/>
      <c r="L97" s="33"/>
      <c r="M97" s="33"/>
      <c r="N97" s="33"/>
      <c r="O97" s="33"/>
      <c r="P97" s="33"/>
      <c r="Q97" s="33"/>
      <c r="R97" s="33"/>
      <c r="S97" s="33"/>
      <c r="T97" s="33"/>
      <c r="U97" s="33"/>
      <c r="V97" s="33"/>
      <c r="W97" s="33"/>
      <c r="X97" s="33"/>
      <c r="Y97" s="843">
        <v>2</v>
      </c>
      <c r="Z97" s="844"/>
      <c r="AA97" s="22" t="s">
        <v>220</v>
      </c>
      <c r="AB97" s="22"/>
      <c r="AC97" s="22"/>
      <c r="AD97" s="22"/>
      <c r="AE97" s="22"/>
    </row>
    <row r="98" spans="2:31" ht="17.100000000000001" customHeight="1" thickTop="1" thickBot="1">
      <c r="C98" s="33" t="s">
        <v>458</v>
      </c>
      <c r="D98" s="33"/>
      <c r="E98" s="33"/>
      <c r="F98" s="33"/>
      <c r="G98" s="33"/>
      <c r="H98" s="33"/>
      <c r="I98" s="33"/>
      <c r="J98" s="33"/>
      <c r="K98" s="33"/>
      <c r="L98" s="33"/>
      <c r="M98" s="33"/>
      <c r="N98" s="33"/>
      <c r="O98" s="33"/>
      <c r="P98" s="33"/>
      <c r="Q98" s="33"/>
      <c r="R98" s="33"/>
      <c r="S98" s="33"/>
      <c r="T98" s="33"/>
      <c r="U98" s="33"/>
      <c r="V98" s="33"/>
      <c r="W98" s="33"/>
      <c r="X98" s="33"/>
      <c r="Y98" s="841">
        <v>0</v>
      </c>
      <c r="Z98" s="842"/>
      <c r="AA98" s="22" t="s">
        <v>220</v>
      </c>
      <c r="AB98" s="22"/>
      <c r="AC98" s="22"/>
      <c r="AD98" s="22"/>
      <c r="AE98" s="22"/>
    </row>
    <row r="99" spans="2:31" ht="17.100000000000001" customHeight="1" thickTop="1" thickBot="1">
      <c r="C99" s="33" t="s">
        <v>459</v>
      </c>
      <c r="D99" s="33"/>
      <c r="E99" s="33"/>
      <c r="F99" s="33"/>
      <c r="G99" s="33"/>
      <c r="H99" s="33"/>
      <c r="I99" s="33"/>
      <c r="J99" s="33"/>
      <c r="K99" s="33"/>
      <c r="L99" s="33"/>
      <c r="M99" s="33"/>
      <c r="N99" s="33"/>
      <c r="O99" s="33"/>
      <c r="P99" s="33"/>
      <c r="Q99" s="33"/>
      <c r="R99" s="33"/>
      <c r="S99" s="33"/>
      <c r="T99" s="33"/>
      <c r="U99" s="33"/>
      <c r="V99" s="33"/>
      <c r="W99" s="33"/>
      <c r="X99" s="33"/>
      <c r="Y99" s="834">
        <v>10</v>
      </c>
      <c r="Z99" s="835"/>
      <c r="AA99" s="22" t="s">
        <v>843</v>
      </c>
      <c r="AB99" s="22"/>
      <c r="AC99" s="36"/>
      <c r="AD99" s="22"/>
      <c r="AE99" s="22"/>
    </row>
    <row r="100" spans="2:31" ht="17.100000000000001" customHeight="1" thickTop="1" thickBot="1">
      <c r="B100" s="27" t="s">
        <v>294</v>
      </c>
      <c r="C100" s="29"/>
      <c r="D100" s="29"/>
      <c r="E100" s="29"/>
      <c r="F100" s="29"/>
      <c r="G100" s="29"/>
      <c r="H100" s="29"/>
      <c r="I100" s="29"/>
      <c r="J100" s="29"/>
      <c r="K100" s="29"/>
      <c r="L100" s="29"/>
      <c r="M100" s="29"/>
      <c r="N100" s="28"/>
      <c r="O100" s="28"/>
      <c r="P100" s="28"/>
      <c r="Q100" s="28"/>
      <c r="R100" s="28"/>
      <c r="S100" s="28"/>
      <c r="T100" s="28"/>
    </row>
    <row r="101" spans="2:31" ht="6" customHeight="1"/>
    <row r="102" spans="2:31" ht="17.100000000000001" customHeight="1">
      <c r="B102" s="22" t="s">
        <v>460</v>
      </c>
    </row>
    <row r="103" spans="2:31" ht="17.100000000000001" customHeight="1" thickBot="1">
      <c r="C103" s="22" t="s">
        <v>578</v>
      </c>
    </row>
    <row r="104" spans="2:31" ht="17.100000000000001" customHeight="1" thickTop="1" thickBot="1">
      <c r="C104" s="103" t="s">
        <v>419</v>
      </c>
      <c r="D104" s="31"/>
      <c r="E104" s="31"/>
      <c r="F104" s="31"/>
      <c r="G104" s="31"/>
      <c r="H104" s="31"/>
      <c r="I104" s="31"/>
      <c r="J104" s="31"/>
      <c r="K104" s="31"/>
      <c r="L104" s="31"/>
      <c r="M104" s="31"/>
      <c r="N104" s="32"/>
      <c r="O104" s="32"/>
      <c r="P104" s="32"/>
      <c r="Q104" s="32"/>
      <c r="R104" s="32"/>
      <c r="S104" s="32"/>
      <c r="T104" s="32"/>
      <c r="U104" s="32"/>
      <c r="V104" s="32"/>
      <c r="W104" s="32"/>
      <c r="X104" s="32"/>
      <c r="Y104" s="841">
        <v>2</v>
      </c>
      <c r="Z104" s="842"/>
      <c r="AA104" s="22" t="s">
        <v>383</v>
      </c>
    </row>
    <row r="105" spans="2:31" ht="17.100000000000001" customHeight="1" thickTop="1" thickBot="1">
      <c r="B105" s="27" t="s">
        <v>617</v>
      </c>
      <c r="C105" s="29"/>
      <c r="D105" s="29"/>
      <c r="E105" s="29"/>
      <c r="F105" s="29"/>
      <c r="G105" s="29"/>
      <c r="H105" s="29"/>
      <c r="I105" s="29"/>
      <c r="J105" s="29"/>
      <c r="K105" s="29"/>
      <c r="L105" s="29"/>
      <c r="M105" s="29"/>
      <c r="N105" s="28"/>
      <c r="O105" s="28"/>
      <c r="P105" s="28"/>
      <c r="Q105" s="28"/>
      <c r="R105" s="28"/>
      <c r="S105" s="28"/>
      <c r="T105" s="28"/>
      <c r="U105" s="37"/>
      <c r="V105" s="37"/>
      <c r="W105" s="22"/>
    </row>
    <row r="106" spans="2:31" ht="8.1" customHeight="1">
      <c r="C106" s="79"/>
      <c r="D106" s="79"/>
      <c r="E106" s="79"/>
      <c r="F106" s="79"/>
      <c r="G106" s="79"/>
      <c r="H106" s="79"/>
      <c r="I106" s="79"/>
      <c r="J106" s="79"/>
      <c r="K106" s="79"/>
      <c r="L106" s="79"/>
      <c r="M106" s="79"/>
      <c r="N106" s="77"/>
      <c r="O106" s="77"/>
      <c r="P106" s="77"/>
      <c r="Q106" s="77"/>
      <c r="R106" s="77"/>
      <c r="S106" s="77"/>
      <c r="T106" s="77"/>
      <c r="U106" s="37"/>
      <c r="V106" s="37"/>
      <c r="W106" s="22"/>
    </row>
    <row r="107" spans="2:31" ht="17.100000000000001" customHeight="1" thickBot="1">
      <c r="B107" s="22" t="s">
        <v>475</v>
      </c>
      <c r="U107" s="37"/>
      <c r="V107" s="37"/>
      <c r="W107" s="22"/>
    </row>
    <row r="108" spans="2:31" ht="17.100000000000001" customHeight="1" thickTop="1" thickBot="1">
      <c r="C108" s="31" t="s">
        <v>461</v>
      </c>
      <c r="D108" s="31"/>
      <c r="E108" s="31"/>
      <c r="F108" s="31"/>
      <c r="G108" s="31"/>
      <c r="H108" s="31"/>
      <c r="I108" s="31"/>
      <c r="J108" s="31"/>
      <c r="K108" s="31"/>
      <c r="L108" s="31"/>
      <c r="M108" s="31"/>
      <c r="N108" s="32"/>
      <c r="O108" s="32"/>
      <c r="P108" s="32"/>
      <c r="Q108" s="32"/>
      <c r="R108" s="32"/>
      <c r="S108" s="32"/>
      <c r="T108" s="32"/>
      <c r="U108" s="32"/>
      <c r="V108" s="32"/>
      <c r="W108" s="32"/>
      <c r="X108" s="80"/>
      <c r="Y108" s="830">
        <v>1</v>
      </c>
      <c r="Z108" s="831"/>
      <c r="AA108" s="72"/>
    </row>
    <row r="109" spans="2:31" ht="17.100000000000001" customHeight="1" thickTop="1" thickBot="1">
      <c r="C109" s="31" t="s">
        <v>462</v>
      </c>
      <c r="D109" s="31"/>
      <c r="E109" s="31"/>
      <c r="F109" s="31"/>
      <c r="G109" s="31"/>
      <c r="H109" s="31"/>
      <c r="I109" s="31"/>
      <c r="J109" s="31"/>
      <c r="K109" s="31"/>
      <c r="L109" s="31"/>
      <c r="M109" s="31"/>
      <c r="N109" s="32"/>
      <c r="O109" s="32"/>
      <c r="P109" s="32"/>
      <c r="Q109" s="32"/>
      <c r="R109" s="32"/>
      <c r="S109" s="32"/>
      <c r="T109" s="32"/>
      <c r="U109" s="32"/>
      <c r="V109" s="32"/>
      <c r="W109" s="32"/>
      <c r="X109" s="80"/>
      <c r="Y109" s="830">
        <v>0</v>
      </c>
      <c r="Z109" s="831"/>
      <c r="AA109" s="72"/>
    </row>
    <row r="110" spans="2:31" ht="17.100000000000001" customHeight="1" thickTop="1" thickBot="1">
      <c r="C110" s="33" t="s">
        <v>528</v>
      </c>
      <c r="D110" s="33"/>
      <c r="E110" s="33"/>
      <c r="F110" s="529" t="s">
        <v>615</v>
      </c>
      <c r="G110" s="33"/>
      <c r="H110" s="33"/>
      <c r="I110" s="33"/>
      <c r="J110" s="33"/>
      <c r="K110" s="33"/>
      <c r="L110" s="33"/>
      <c r="M110" s="33"/>
      <c r="N110" s="33"/>
      <c r="O110" s="33"/>
      <c r="P110" s="33"/>
      <c r="Q110" s="33"/>
      <c r="R110" s="33"/>
      <c r="S110" s="33"/>
      <c r="T110" s="33"/>
      <c r="U110" s="33"/>
      <c r="V110" s="33"/>
      <c r="W110" s="33"/>
      <c r="X110" s="60"/>
      <c r="Y110" s="830">
        <v>0</v>
      </c>
      <c r="Z110" s="831"/>
      <c r="AA110" s="72"/>
    </row>
    <row r="111" spans="2:31" ht="17.100000000000001" customHeight="1" thickTop="1">
      <c r="C111" s="24"/>
      <c r="Y111" s="840">
        <f>SUM(Y108:Z110)</f>
        <v>1</v>
      </c>
      <c r="Z111" s="840"/>
      <c r="AA111" s="72" t="s">
        <v>573</v>
      </c>
    </row>
    <row r="112" spans="2:31" ht="17.100000000000001" customHeight="1" thickBot="1">
      <c r="B112" s="27" t="s">
        <v>234</v>
      </c>
      <c r="C112" s="29"/>
      <c r="D112" s="29"/>
      <c r="E112" s="29"/>
      <c r="F112" s="29"/>
      <c r="G112" s="29"/>
      <c r="H112" s="29"/>
      <c r="I112" s="29"/>
      <c r="J112" s="29"/>
      <c r="K112" s="29"/>
      <c r="L112" s="29"/>
      <c r="M112" s="29"/>
      <c r="N112" s="28"/>
      <c r="O112" s="28"/>
      <c r="P112" s="28"/>
      <c r="Q112" s="28"/>
      <c r="R112" s="28"/>
      <c r="S112" s="28"/>
      <c r="T112" s="28"/>
      <c r="U112" s="37"/>
      <c r="V112" s="37"/>
      <c r="W112" s="22"/>
    </row>
    <row r="113" spans="2:36" ht="8.1" customHeight="1">
      <c r="U113" s="37"/>
      <c r="V113" s="37"/>
      <c r="W113" s="22"/>
    </row>
    <row r="114" spans="2:36" ht="17.100000000000001" customHeight="1">
      <c r="B114" s="825" t="s">
        <v>476</v>
      </c>
      <c r="C114" s="826"/>
      <c r="D114" s="826"/>
      <c r="E114" s="826"/>
      <c r="F114" s="826"/>
      <c r="G114" s="826"/>
      <c r="H114" s="826"/>
      <c r="I114" s="826"/>
      <c r="J114" s="826"/>
      <c r="K114" s="826"/>
      <c r="L114" s="826"/>
      <c r="M114" s="826"/>
      <c r="N114" s="826"/>
      <c r="O114" s="826"/>
      <c r="P114" s="826"/>
      <c r="Q114" s="826"/>
      <c r="R114" s="826"/>
      <c r="S114" s="826"/>
      <c r="T114" s="826"/>
      <c r="U114" s="826"/>
      <c r="V114" s="826"/>
      <c r="W114" s="826"/>
      <c r="X114" s="826"/>
      <c r="Y114" s="826"/>
      <c r="Z114" s="826"/>
      <c r="AA114" s="826"/>
      <c r="AB114" s="826"/>
      <c r="AC114" s="826"/>
      <c r="AD114" s="826"/>
      <c r="AE114" s="826"/>
      <c r="AF114" s="826"/>
      <c r="AG114" s="826"/>
      <c r="AH114" s="826"/>
      <c r="AI114" s="826"/>
      <c r="AJ114" s="826"/>
    </row>
    <row r="115" spans="2:36" ht="17.100000000000001" customHeight="1" thickBot="1">
      <c r="B115" s="826"/>
      <c r="C115" s="826"/>
      <c r="D115" s="826"/>
      <c r="E115" s="826"/>
      <c r="F115" s="826"/>
      <c r="G115" s="826"/>
      <c r="H115" s="826"/>
      <c r="I115" s="826"/>
      <c r="J115" s="826"/>
      <c r="K115" s="826"/>
      <c r="L115" s="826"/>
      <c r="M115" s="826"/>
      <c r="N115" s="826"/>
      <c r="O115" s="826"/>
      <c r="P115" s="826"/>
      <c r="Q115" s="826"/>
      <c r="R115" s="826"/>
      <c r="S115" s="826"/>
      <c r="T115" s="826"/>
      <c r="U115" s="826"/>
      <c r="V115" s="826"/>
      <c r="W115" s="826"/>
      <c r="X115" s="826"/>
      <c r="Y115" s="826"/>
      <c r="Z115" s="826"/>
      <c r="AA115" s="826"/>
      <c r="AB115" s="826"/>
      <c r="AC115" s="826"/>
      <c r="AD115" s="826"/>
      <c r="AE115" s="826"/>
      <c r="AF115" s="826"/>
      <c r="AG115" s="826"/>
      <c r="AH115" s="826"/>
      <c r="AI115" s="826"/>
      <c r="AJ115" s="826"/>
    </row>
    <row r="116" spans="2:36" ht="17.100000000000001" customHeight="1" thickTop="1" thickBot="1">
      <c r="C116" s="31" t="s">
        <v>577</v>
      </c>
      <c r="D116" s="31"/>
      <c r="E116" s="31"/>
      <c r="F116" s="31"/>
      <c r="G116" s="31"/>
      <c r="H116" s="31"/>
      <c r="I116" s="31"/>
      <c r="J116" s="31"/>
      <c r="K116" s="31"/>
      <c r="L116" s="31"/>
      <c r="M116" s="31"/>
      <c r="N116" s="31"/>
      <c r="O116" s="31"/>
      <c r="P116" s="31"/>
      <c r="Q116" s="31"/>
      <c r="R116" s="32"/>
      <c r="S116" s="834">
        <v>0</v>
      </c>
      <c r="T116" s="835"/>
      <c r="U116" s="78" t="s">
        <v>210</v>
      </c>
      <c r="V116" s="78"/>
      <c r="W116" s="31"/>
      <c r="X116" s="31"/>
      <c r="Y116" s="836">
        <v>0</v>
      </c>
      <c r="Z116" s="837"/>
      <c r="AA116" s="72"/>
    </row>
    <row r="117" spans="2:36" ht="17.100000000000001" customHeight="1" thickTop="1" thickBot="1">
      <c r="C117" s="33" t="s">
        <v>329</v>
      </c>
      <c r="D117" s="33"/>
      <c r="E117" s="33"/>
      <c r="F117" s="33"/>
      <c r="G117" s="33"/>
      <c r="H117" s="33"/>
      <c r="I117" s="33"/>
      <c r="J117" s="33"/>
      <c r="K117" s="33"/>
      <c r="L117" s="33"/>
      <c r="M117" s="33"/>
      <c r="N117" s="33"/>
      <c r="O117" s="33"/>
      <c r="P117" s="33"/>
      <c r="Q117" s="33"/>
      <c r="R117" s="34"/>
      <c r="S117" s="860">
        <v>3</v>
      </c>
      <c r="T117" s="861"/>
      <c r="U117" s="61" t="s">
        <v>209</v>
      </c>
      <c r="V117" s="61"/>
      <c r="W117" s="33"/>
      <c r="X117" s="33"/>
      <c r="Y117" s="849">
        <v>1</v>
      </c>
      <c r="Z117" s="850"/>
      <c r="AA117" s="72"/>
    </row>
    <row r="118" spans="2:36" ht="17.100000000000001" customHeight="1" thickTop="1" thickBot="1">
      <c r="C118" s="33" t="s">
        <v>330</v>
      </c>
      <c r="D118" s="33"/>
      <c r="E118" s="33"/>
      <c r="F118" s="33"/>
      <c r="G118" s="33"/>
      <c r="H118" s="33"/>
      <c r="I118" s="33"/>
      <c r="J118" s="33"/>
      <c r="K118" s="33"/>
      <c r="L118" s="33"/>
      <c r="M118" s="33"/>
      <c r="N118" s="33"/>
      <c r="O118" s="33"/>
      <c r="P118" s="33"/>
      <c r="Q118" s="33"/>
      <c r="R118" s="34"/>
      <c r="S118" s="834">
        <v>0</v>
      </c>
      <c r="T118" s="835"/>
      <c r="U118" s="78" t="s">
        <v>210</v>
      </c>
      <c r="V118" s="78"/>
      <c r="W118" s="31"/>
      <c r="X118" s="33"/>
      <c r="Y118" s="836">
        <v>0</v>
      </c>
      <c r="Z118" s="837"/>
      <c r="AA118" s="72"/>
    </row>
    <row r="119" spans="2:36" ht="17.100000000000001" customHeight="1" thickTop="1" thickBot="1">
      <c r="C119" s="33" t="s">
        <v>331</v>
      </c>
      <c r="D119" s="33"/>
      <c r="E119" s="33"/>
      <c r="F119" s="33"/>
      <c r="G119" s="33"/>
      <c r="H119" s="33"/>
      <c r="I119" s="33"/>
      <c r="J119" s="33"/>
      <c r="K119" s="33"/>
      <c r="L119" s="33"/>
      <c r="M119" s="33"/>
      <c r="N119" s="33"/>
      <c r="O119" s="33"/>
      <c r="P119" s="33"/>
      <c r="Q119" s="33"/>
      <c r="S119" s="834">
        <v>0</v>
      </c>
      <c r="T119" s="835"/>
      <c r="U119" s="61" t="s">
        <v>209</v>
      </c>
      <c r="V119" s="61"/>
      <c r="W119" s="33"/>
      <c r="X119" s="33"/>
      <c r="Y119" s="836">
        <v>0</v>
      </c>
      <c r="Z119" s="837"/>
      <c r="AA119" s="72"/>
    </row>
    <row r="120" spans="2:36" ht="17.100000000000001" customHeight="1" thickTop="1" thickBot="1">
      <c r="C120" s="33" t="s">
        <v>528</v>
      </c>
      <c r="D120" s="33"/>
      <c r="E120" s="33"/>
      <c r="F120" s="529" t="s">
        <v>616</v>
      </c>
      <c r="G120" s="33"/>
      <c r="H120" s="33"/>
      <c r="I120" s="33"/>
      <c r="J120" s="33"/>
      <c r="K120" s="33"/>
      <c r="L120" s="33"/>
      <c r="M120" s="33"/>
      <c r="N120" s="33"/>
      <c r="O120" s="33"/>
      <c r="P120" s="33"/>
      <c r="Q120" s="33"/>
      <c r="R120" s="33"/>
      <c r="S120" s="834">
        <v>0</v>
      </c>
      <c r="T120" s="835"/>
      <c r="U120" s="78" t="s">
        <v>210</v>
      </c>
      <c r="V120" s="78"/>
      <c r="W120" s="31"/>
      <c r="X120" s="33"/>
      <c r="Y120" s="836">
        <v>0</v>
      </c>
      <c r="Z120" s="837"/>
      <c r="AA120" s="72"/>
    </row>
    <row r="121" spans="2:36" ht="17.100000000000001" customHeight="1" thickTop="1">
      <c r="N121" s="22"/>
      <c r="O121" s="22"/>
      <c r="P121" s="22"/>
      <c r="R121" s="35" t="s">
        <v>579</v>
      </c>
      <c r="S121" s="838">
        <f>(S116*Y116)+(S117*Y117)+(S118*Y118)+(S119*Y119)+(S120*Y120)</f>
        <v>3</v>
      </c>
      <c r="T121" s="839"/>
      <c r="U121" s="81" t="s">
        <v>209</v>
      </c>
      <c r="V121" s="106"/>
      <c r="W121" s="22"/>
      <c r="Y121" s="840">
        <f>SUM(Y116:Y120)</f>
        <v>1</v>
      </c>
      <c r="Z121" s="840"/>
      <c r="AA121" s="72" t="s">
        <v>573</v>
      </c>
    </row>
    <row r="122" spans="2:36" customFormat="1" ht="17.100000000000001" customHeight="1"/>
    <row r="123" spans="2:36" ht="17.25">
      <c r="B123" s="827" t="s">
        <v>557</v>
      </c>
      <c r="C123" s="828"/>
      <c r="D123" s="828"/>
      <c r="E123" s="828"/>
      <c r="F123" s="828"/>
      <c r="G123" s="828"/>
      <c r="H123" s="828"/>
      <c r="I123" s="828"/>
      <c r="J123" s="828"/>
      <c r="K123" s="828"/>
      <c r="L123" s="828"/>
      <c r="M123" s="828"/>
      <c r="N123" s="828"/>
      <c r="O123" s="828"/>
      <c r="P123" s="828"/>
      <c r="Q123" s="828"/>
      <c r="R123" s="828"/>
      <c r="S123" s="828"/>
      <c r="T123" s="828"/>
      <c r="U123" s="828"/>
      <c r="V123" s="828"/>
      <c r="W123" s="828"/>
      <c r="X123" s="828"/>
      <c r="Y123" s="828"/>
      <c r="Z123" s="828"/>
      <c r="AA123" s="828"/>
      <c r="AB123" s="828"/>
      <c r="AC123" s="828"/>
      <c r="AD123" s="828"/>
      <c r="AE123" s="828"/>
      <c r="AF123" s="828"/>
      <c r="AG123" s="828"/>
      <c r="AH123" s="828"/>
      <c r="AI123" s="828"/>
      <c r="AJ123" s="829"/>
    </row>
    <row r="124" spans="2:36" customFormat="1" ht="8.1" customHeight="1">
      <c r="C124" s="99"/>
      <c r="D124" s="99"/>
      <c r="E124" s="99"/>
      <c r="F124" s="99"/>
      <c r="G124" s="99"/>
      <c r="H124" s="99"/>
      <c r="I124" s="99"/>
      <c r="J124" s="99"/>
      <c r="K124" s="99"/>
      <c r="L124" s="99"/>
      <c r="M124" s="99"/>
      <c r="U124" s="68"/>
      <c r="V124" s="68"/>
      <c r="W124" s="68"/>
      <c r="X124" s="68"/>
      <c r="Y124" s="68"/>
      <c r="Z124" s="68"/>
      <c r="AA124" s="68"/>
      <c r="AB124" s="68"/>
      <c r="AC124" s="68"/>
      <c r="AD124" s="68"/>
      <c r="AE124" s="68"/>
      <c r="AF124" s="68"/>
      <c r="AG124" s="68"/>
      <c r="AH124" s="68"/>
      <c r="AI124" s="68"/>
      <c r="AJ124" s="68"/>
    </row>
    <row r="125" spans="2:36" ht="17.100000000000001" customHeight="1" thickBot="1">
      <c r="B125" s="27" t="s">
        <v>221</v>
      </c>
      <c r="C125" s="29"/>
      <c r="D125" s="29"/>
      <c r="E125" s="29"/>
      <c r="F125" s="29"/>
      <c r="G125" s="29"/>
      <c r="H125" s="29"/>
      <c r="I125" s="29"/>
      <c r="J125" s="29"/>
      <c r="K125" s="29"/>
      <c r="L125" s="29"/>
      <c r="M125" s="29"/>
      <c r="N125" s="28"/>
      <c r="O125" s="28"/>
      <c r="P125" s="28"/>
      <c r="Q125" s="28"/>
      <c r="R125" s="28"/>
      <c r="S125" s="28"/>
      <c r="T125" s="28"/>
      <c r="U125" s="1"/>
      <c r="V125" s="1"/>
      <c r="W125" s="1"/>
      <c r="X125" s="1"/>
      <c r="Y125" s="1"/>
      <c r="Z125" s="1"/>
      <c r="AA125" s="1"/>
      <c r="AB125" s="1"/>
      <c r="AC125" s="1"/>
      <c r="AD125" s="1"/>
      <c r="AE125" s="1"/>
      <c r="AF125" s="1"/>
      <c r="AG125" s="1"/>
      <c r="AH125" s="1"/>
      <c r="AI125" s="1"/>
      <c r="AJ125" s="1"/>
    </row>
    <row r="126" spans="2:36" ht="8.1" customHeight="1">
      <c r="U126" s="1"/>
      <c r="V126" s="1"/>
      <c r="W126" s="1"/>
      <c r="X126" s="1"/>
      <c r="Y126" s="1"/>
      <c r="Z126" s="1"/>
      <c r="AA126" s="1"/>
      <c r="AB126" s="1"/>
      <c r="AC126" s="1"/>
      <c r="AD126" s="1"/>
      <c r="AE126" s="1"/>
      <c r="AF126" s="1"/>
      <c r="AG126" s="1"/>
      <c r="AH126" s="1"/>
      <c r="AI126" s="1"/>
      <c r="AJ126" s="1"/>
    </row>
    <row r="127" spans="2:36" ht="17.100000000000001" customHeight="1">
      <c r="B127" s="22" t="s">
        <v>235</v>
      </c>
      <c r="U127" s="1"/>
      <c r="V127" s="1"/>
      <c r="W127" s="1"/>
      <c r="X127" s="1"/>
      <c r="Y127" s="1"/>
      <c r="Z127" s="1"/>
      <c r="AA127" s="1"/>
      <c r="AB127" s="1"/>
      <c r="AC127" s="1"/>
      <c r="AD127" s="1"/>
      <c r="AE127" s="1"/>
      <c r="AF127" s="1"/>
      <c r="AG127" s="1"/>
      <c r="AH127" s="1"/>
      <c r="AI127" s="1"/>
      <c r="AJ127" s="1"/>
    </row>
    <row r="128" spans="2:36" ht="17.100000000000001" customHeight="1" thickBot="1">
      <c r="B128" s="37"/>
      <c r="C128" s="22" t="s">
        <v>281</v>
      </c>
      <c r="Y128" s="1"/>
      <c r="Z128" s="1"/>
      <c r="AA128" s="1"/>
      <c r="AB128" s="1"/>
      <c r="AC128" s="1"/>
      <c r="AD128" s="1"/>
      <c r="AE128" s="1"/>
      <c r="AF128" s="1"/>
      <c r="AG128" s="1"/>
      <c r="AH128" s="1"/>
      <c r="AI128" s="1"/>
      <c r="AJ128" s="1"/>
    </row>
    <row r="129" spans="2:40" ht="17.100000000000001" customHeight="1" thickTop="1" thickBot="1">
      <c r="B129" s="37"/>
      <c r="C129" s="103" t="s">
        <v>463</v>
      </c>
      <c r="D129" s="31"/>
      <c r="E129" s="31"/>
      <c r="F129" s="31"/>
      <c r="G129" s="31"/>
      <c r="H129" s="31"/>
      <c r="I129" s="31"/>
      <c r="J129" s="31"/>
      <c r="K129" s="31"/>
      <c r="L129" s="31"/>
      <c r="M129" s="31"/>
      <c r="N129" s="32"/>
      <c r="O129" s="32"/>
      <c r="P129" s="32"/>
      <c r="Q129" s="32"/>
      <c r="R129" s="32"/>
      <c r="S129" s="32"/>
      <c r="T129" s="32"/>
      <c r="U129" s="32"/>
      <c r="V129" s="32"/>
      <c r="W129" s="32"/>
      <c r="X129" s="32"/>
      <c r="Y129" s="841">
        <v>0</v>
      </c>
      <c r="Z129" s="842"/>
      <c r="AA129" s="22" t="s">
        <v>383</v>
      </c>
      <c r="AB129" s="1"/>
      <c r="AC129" s="1"/>
      <c r="AD129" s="1"/>
      <c r="AE129" s="1"/>
      <c r="AF129" s="1"/>
      <c r="AG129" s="1"/>
      <c r="AH129" s="1"/>
      <c r="AI129" s="1"/>
      <c r="AJ129" s="1"/>
    </row>
    <row r="130" spans="2:40" ht="17.100000000000001" customHeight="1" thickTop="1" thickBot="1">
      <c r="B130" s="37"/>
      <c r="C130" s="22" t="s">
        <v>585</v>
      </c>
      <c r="Y130" s="1"/>
      <c r="Z130" s="1"/>
      <c r="AA130" s="1"/>
      <c r="AB130" s="1"/>
      <c r="AC130" s="1"/>
      <c r="AD130" s="1"/>
      <c r="AE130" s="1"/>
      <c r="AF130" s="1"/>
      <c r="AG130" s="1"/>
      <c r="AH130" s="1"/>
      <c r="AI130" s="1"/>
      <c r="AJ130" s="1"/>
    </row>
    <row r="131" spans="2:40" ht="17.100000000000001" customHeight="1" thickTop="1" thickBot="1">
      <c r="B131" s="37"/>
      <c r="C131" s="103" t="s">
        <v>464</v>
      </c>
      <c r="D131" s="31"/>
      <c r="E131" s="31"/>
      <c r="F131" s="31"/>
      <c r="G131" s="31"/>
      <c r="H131" s="31"/>
      <c r="I131" s="31"/>
      <c r="J131" s="31"/>
      <c r="K131" s="31"/>
      <c r="L131" s="31"/>
      <c r="M131" s="31"/>
      <c r="N131" s="32"/>
      <c r="O131" s="32"/>
      <c r="P131" s="32"/>
      <c r="Q131" s="32"/>
      <c r="R131" s="32"/>
      <c r="S131" s="32"/>
      <c r="T131" s="32"/>
      <c r="U131" s="32"/>
      <c r="V131" s="32"/>
      <c r="W131" s="32"/>
      <c r="X131" s="32"/>
      <c r="Y131" s="841">
        <v>0</v>
      </c>
      <c r="Z131" s="842"/>
      <c r="AA131" s="22" t="s">
        <v>383</v>
      </c>
      <c r="AB131" s="1"/>
      <c r="AC131" s="1"/>
      <c r="AD131" s="1"/>
      <c r="AE131" s="1"/>
      <c r="AF131" s="1"/>
      <c r="AG131" s="1"/>
      <c r="AH131" s="1"/>
      <c r="AI131" s="1"/>
      <c r="AJ131" s="1"/>
    </row>
    <row r="132" spans="2:40" ht="17.100000000000001" customHeight="1" thickTop="1" thickBot="1">
      <c r="B132" s="37"/>
      <c r="C132" s="31" t="s">
        <v>586</v>
      </c>
      <c r="D132" s="31"/>
      <c r="E132" s="31"/>
      <c r="F132" s="31"/>
      <c r="G132" s="31"/>
      <c r="H132" s="31"/>
      <c r="I132" s="31"/>
      <c r="J132" s="31"/>
      <c r="K132" s="31"/>
      <c r="L132" s="31"/>
      <c r="M132" s="31"/>
      <c r="N132" s="31"/>
      <c r="O132" s="31"/>
      <c r="P132" s="31"/>
      <c r="Q132" s="31"/>
      <c r="R132" s="31"/>
      <c r="S132" s="31"/>
      <c r="T132" s="31"/>
      <c r="U132" s="31"/>
      <c r="V132" s="31"/>
      <c r="W132" s="31"/>
      <c r="X132" s="31"/>
      <c r="Y132" s="841">
        <v>0</v>
      </c>
      <c r="Z132" s="842"/>
      <c r="AA132" s="1" t="s">
        <v>587</v>
      </c>
      <c r="AB132" s="37"/>
      <c r="AC132" s="37"/>
      <c r="AD132" s="37"/>
      <c r="AE132" s="37"/>
      <c r="AF132" s="37"/>
      <c r="AG132" s="37"/>
      <c r="AH132" s="37"/>
      <c r="AI132" s="37"/>
      <c r="AJ132" s="37"/>
      <c r="AK132" s="37"/>
      <c r="AL132" s="37"/>
      <c r="AM132" s="37"/>
      <c r="AN132" s="37"/>
    </row>
    <row r="133" spans="2:40" ht="17.100000000000001" customHeight="1" thickTop="1" thickBot="1">
      <c r="B133" s="27" t="s">
        <v>649</v>
      </c>
      <c r="C133" s="29"/>
      <c r="D133" s="29"/>
      <c r="E133" s="29"/>
      <c r="F133" s="29"/>
      <c r="G133" s="29"/>
      <c r="H133" s="29"/>
      <c r="I133" s="29"/>
      <c r="J133" s="29"/>
      <c r="K133" s="29"/>
      <c r="L133" s="29"/>
      <c r="M133" s="29"/>
      <c r="N133" s="28"/>
      <c r="O133" s="28"/>
      <c r="P133" s="28"/>
      <c r="Q133" s="28"/>
      <c r="R133" s="28"/>
      <c r="S133" s="28"/>
      <c r="T133" s="28"/>
      <c r="U133" s="37"/>
      <c r="V133" s="37"/>
      <c r="W133" s="37"/>
      <c r="X133" s="37"/>
      <c r="Y133" s="37"/>
      <c r="Z133" s="37"/>
      <c r="AA133" s="37"/>
      <c r="AB133" s="37"/>
      <c r="AC133" s="37"/>
      <c r="AD133" s="37"/>
      <c r="AE133" s="37"/>
      <c r="AF133" s="37"/>
      <c r="AG133" s="37"/>
      <c r="AH133" s="37"/>
      <c r="AI133" s="37"/>
      <c r="AJ133" s="37"/>
    </row>
    <row r="134" spans="2:40" ht="8.1" customHeight="1">
      <c r="U134" s="37"/>
      <c r="V134" s="37"/>
      <c r="W134" s="37"/>
      <c r="X134" s="37"/>
      <c r="Y134" s="37"/>
      <c r="Z134" s="37"/>
      <c r="AA134" s="37"/>
      <c r="AB134" s="37"/>
      <c r="AC134" s="37"/>
      <c r="AD134" s="37"/>
      <c r="AE134" s="37"/>
      <c r="AF134" s="37"/>
      <c r="AG134" s="37"/>
      <c r="AH134" s="37"/>
      <c r="AI134" s="37"/>
      <c r="AJ134" s="37"/>
    </row>
    <row r="135" spans="2:40" ht="17.100000000000001" customHeight="1">
      <c r="B135" s="825" t="s">
        <v>293</v>
      </c>
      <c r="C135" s="826"/>
      <c r="D135" s="826"/>
      <c r="E135" s="826"/>
      <c r="F135" s="826"/>
      <c r="G135" s="826"/>
      <c r="H135" s="826"/>
      <c r="I135" s="826"/>
      <c r="J135" s="826"/>
      <c r="K135" s="826"/>
      <c r="L135" s="826"/>
      <c r="M135" s="826"/>
      <c r="N135" s="826"/>
      <c r="O135" s="826"/>
      <c r="P135" s="826"/>
      <c r="Q135" s="826"/>
      <c r="R135" s="826"/>
      <c r="S135" s="826"/>
      <c r="T135" s="826"/>
      <c r="U135" s="826"/>
      <c r="V135" s="826"/>
      <c r="W135" s="826"/>
      <c r="X135" s="826"/>
      <c r="Y135" s="826"/>
      <c r="Z135" s="826"/>
      <c r="AA135" s="826"/>
      <c r="AB135" s="826"/>
      <c r="AC135" s="826"/>
      <c r="AD135" s="826"/>
      <c r="AE135" s="826"/>
      <c r="AF135" s="826"/>
      <c r="AG135" s="826"/>
      <c r="AH135" s="826"/>
      <c r="AI135" s="826"/>
      <c r="AJ135" s="37"/>
    </row>
    <row r="136" spans="2:40" ht="17.100000000000001" customHeight="1" thickBot="1">
      <c r="B136" s="826"/>
      <c r="C136" s="826"/>
      <c r="D136" s="826"/>
      <c r="E136" s="826"/>
      <c r="F136" s="826"/>
      <c r="G136" s="826"/>
      <c r="H136" s="826"/>
      <c r="I136" s="826"/>
      <c r="J136" s="826"/>
      <c r="K136" s="826"/>
      <c r="L136" s="826"/>
      <c r="M136" s="826"/>
      <c r="N136" s="826"/>
      <c r="O136" s="826"/>
      <c r="P136" s="826"/>
      <c r="Q136" s="826"/>
      <c r="R136" s="826"/>
      <c r="S136" s="826"/>
      <c r="T136" s="826"/>
      <c r="U136" s="826"/>
      <c r="V136" s="826"/>
      <c r="W136" s="826"/>
      <c r="X136" s="826"/>
      <c r="Y136" s="826"/>
      <c r="Z136" s="826"/>
      <c r="AA136" s="826"/>
      <c r="AB136" s="826"/>
      <c r="AC136" s="826"/>
      <c r="AD136" s="826"/>
      <c r="AE136" s="826"/>
      <c r="AF136" s="826"/>
      <c r="AG136" s="826"/>
      <c r="AH136" s="826"/>
      <c r="AI136" s="826"/>
      <c r="AJ136" s="37"/>
    </row>
    <row r="137" spans="2:40" ht="17.100000000000001" customHeight="1" thickTop="1" thickBot="1">
      <c r="B137" s="37"/>
      <c r="C137" s="31" t="s">
        <v>333</v>
      </c>
      <c r="D137" s="31"/>
      <c r="E137" s="31"/>
      <c r="F137" s="31"/>
      <c r="G137" s="31"/>
      <c r="H137" s="31"/>
      <c r="I137" s="31"/>
      <c r="J137" s="31"/>
      <c r="K137" s="31"/>
      <c r="L137" s="31"/>
      <c r="M137" s="31"/>
      <c r="N137" s="31"/>
      <c r="O137" s="31"/>
      <c r="P137" s="31"/>
      <c r="Q137" s="32"/>
      <c r="R137" s="32"/>
      <c r="S137" s="32"/>
      <c r="T137" s="841">
        <v>0</v>
      </c>
      <c r="U137" s="842"/>
      <c r="V137" s="22" t="s">
        <v>523</v>
      </c>
      <c r="W137" s="22"/>
      <c r="Y137" s="830">
        <v>0</v>
      </c>
      <c r="Z137" s="831"/>
      <c r="AA137" s="72"/>
    </row>
    <row r="138" spans="2:40" ht="17.100000000000001" customHeight="1" thickTop="1" thickBot="1">
      <c r="C138" s="33" t="s">
        <v>332</v>
      </c>
      <c r="D138" s="33"/>
      <c r="E138" s="33"/>
      <c r="F138" s="33"/>
      <c r="G138" s="33"/>
      <c r="H138" s="33"/>
      <c r="I138" s="33"/>
      <c r="J138" s="33"/>
      <c r="K138" s="33"/>
      <c r="L138" s="33"/>
      <c r="M138" s="33"/>
      <c r="N138" s="33"/>
      <c r="O138" s="33"/>
      <c r="P138" s="33"/>
      <c r="Q138" s="34"/>
      <c r="R138" s="34"/>
      <c r="S138" s="34"/>
      <c r="T138" s="841">
        <v>0</v>
      </c>
      <c r="U138" s="842"/>
      <c r="V138" s="22" t="s">
        <v>523</v>
      </c>
      <c r="W138" s="22"/>
      <c r="Y138" s="830">
        <v>1</v>
      </c>
      <c r="Z138" s="831"/>
      <c r="AA138" s="72"/>
    </row>
    <row r="139" spans="2:40" ht="17.100000000000001" customHeight="1" thickTop="1">
      <c r="C139" s="24"/>
      <c r="N139" s="22"/>
      <c r="O139" s="22"/>
      <c r="P139" s="22"/>
      <c r="S139" s="35" t="s">
        <v>579</v>
      </c>
      <c r="T139" s="838">
        <f>(T137*Y137)+(T138*Y138)</f>
        <v>0</v>
      </c>
      <c r="U139" s="839"/>
      <c r="V139" s="22" t="s">
        <v>523</v>
      </c>
      <c r="W139" s="22"/>
      <c r="Y139" s="840">
        <f>SUM(Y137:Z138)</f>
        <v>1</v>
      </c>
      <c r="Z139" s="840"/>
      <c r="AA139" s="72" t="s">
        <v>573</v>
      </c>
    </row>
    <row r="140" spans="2:40" ht="17.25">
      <c r="B140" s="827" t="s">
        <v>478</v>
      </c>
      <c r="C140" s="828"/>
      <c r="D140" s="828"/>
      <c r="E140" s="828"/>
      <c r="F140" s="828"/>
      <c r="G140" s="828"/>
      <c r="H140" s="828"/>
      <c r="I140" s="828"/>
      <c r="J140" s="828"/>
      <c r="K140" s="828"/>
      <c r="L140" s="828"/>
      <c r="M140" s="828"/>
      <c r="N140" s="828"/>
      <c r="O140" s="828"/>
      <c r="P140" s="828"/>
      <c r="Q140" s="828"/>
      <c r="R140" s="828"/>
      <c r="S140" s="828"/>
      <c r="T140" s="828"/>
      <c r="U140" s="828"/>
      <c r="V140" s="828"/>
      <c r="W140" s="828"/>
      <c r="X140" s="828"/>
      <c r="Y140" s="828"/>
      <c r="Z140" s="828"/>
      <c r="AA140" s="828"/>
      <c r="AB140" s="828"/>
      <c r="AC140" s="828"/>
      <c r="AD140" s="828"/>
      <c r="AE140" s="828"/>
      <c r="AF140" s="828"/>
      <c r="AG140" s="828"/>
      <c r="AH140" s="828"/>
      <c r="AI140" s="828"/>
      <c r="AJ140" s="829"/>
    </row>
    <row r="141" spans="2:40" customFormat="1" ht="8.1" customHeight="1">
      <c r="C141" s="99"/>
      <c r="D141" s="99"/>
      <c r="E141" s="99"/>
      <c r="F141" s="99"/>
      <c r="G141" s="99"/>
      <c r="H141" s="99"/>
      <c r="I141" s="99"/>
      <c r="J141" s="99"/>
      <c r="K141" s="99"/>
      <c r="L141" s="99"/>
      <c r="M141" s="99"/>
    </row>
    <row r="142" spans="2:40" ht="17.100000000000001" customHeight="1" thickBot="1">
      <c r="B142" s="27" t="s">
        <v>370</v>
      </c>
      <c r="C142" s="29"/>
      <c r="D142" s="29"/>
      <c r="E142" s="29"/>
      <c r="F142" s="29"/>
      <c r="G142" s="29"/>
      <c r="H142" s="29"/>
      <c r="I142" s="29"/>
      <c r="J142" s="29"/>
      <c r="K142" s="29"/>
      <c r="L142" s="29"/>
      <c r="M142" s="29"/>
      <c r="N142" s="28"/>
      <c r="O142" s="28"/>
      <c r="P142" s="28"/>
      <c r="Q142" s="28"/>
      <c r="R142" s="28"/>
      <c r="S142" s="28"/>
      <c r="T142" s="28"/>
      <c r="U142" s="37"/>
      <c r="V142" s="37"/>
      <c r="W142" s="22"/>
    </row>
    <row r="143" spans="2:40" ht="8.1" customHeight="1">
      <c r="U143" s="37"/>
      <c r="V143" s="37"/>
      <c r="W143" s="22"/>
    </row>
    <row r="144" spans="2:40" ht="17.100000000000001" customHeight="1" thickBot="1">
      <c r="B144" s="22" t="s">
        <v>465</v>
      </c>
      <c r="U144" s="37"/>
      <c r="V144" s="37"/>
      <c r="W144" s="22"/>
    </row>
    <row r="145" spans="2:36" ht="17.100000000000001" customHeight="1" thickTop="1" thickBot="1">
      <c r="C145" s="31" t="s">
        <v>461</v>
      </c>
      <c r="D145" s="31"/>
      <c r="E145" s="31"/>
      <c r="F145" s="31"/>
      <c r="G145" s="31"/>
      <c r="H145" s="31"/>
      <c r="I145" s="31"/>
      <c r="J145" s="31"/>
      <c r="K145" s="31"/>
      <c r="L145" s="31"/>
      <c r="M145" s="31"/>
      <c r="N145" s="31"/>
      <c r="O145" s="31"/>
      <c r="P145" s="31"/>
      <c r="Q145" s="31"/>
      <c r="R145" s="31"/>
      <c r="S145" s="31"/>
      <c r="T145" s="31"/>
      <c r="U145" s="31"/>
      <c r="V145" s="31"/>
      <c r="W145" s="31"/>
      <c r="X145" s="31"/>
      <c r="Y145" s="830">
        <v>0</v>
      </c>
      <c r="Z145" s="831"/>
      <c r="AA145" s="72"/>
    </row>
    <row r="146" spans="2:36" ht="17.100000000000001" customHeight="1" thickTop="1" thickBot="1">
      <c r="C146" s="31" t="s">
        <v>462</v>
      </c>
      <c r="D146" s="33"/>
      <c r="E146" s="33"/>
      <c r="F146" s="33"/>
      <c r="G146" s="33"/>
      <c r="H146" s="33"/>
      <c r="I146" s="33"/>
      <c r="J146" s="33"/>
      <c r="K146" s="33"/>
      <c r="L146" s="33"/>
      <c r="M146" s="33"/>
      <c r="N146" s="33"/>
      <c r="O146" s="33"/>
      <c r="P146" s="33"/>
      <c r="Q146" s="33"/>
      <c r="R146" s="33"/>
      <c r="S146" s="33"/>
      <c r="T146" s="33"/>
      <c r="U146" s="33"/>
      <c r="V146" s="33"/>
      <c r="W146" s="33"/>
      <c r="X146" s="33"/>
      <c r="Y146" s="830">
        <v>0</v>
      </c>
      <c r="Z146" s="831"/>
      <c r="AA146" s="72"/>
    </row>
    <row r="147" spans="2:36" ht="17.100000000000001" customHeight="1" thickTop="1" thickBot="1">
      <c r="C147" s="33" t="s">
        <v>528</v>
      </c>
      <c r="D147" s="33"/>
      <c r="E147" s="529" t="s">
        <v>615</v>
      </c>
      <c r="F147" s="33"/>
      <c r="G147" s="33"/>
      <c r="H147" s="33"/>
      <c r="I147" s="33"/>
      <c r="J147" s="33"/>
      <c r="K147" s="33"/>
      <c r="L147" s="33"/>
      <c r="M147" s="33"/>
      <c r="N147" s="33"/>
      <c r="O147" s="33"/>
      <c r="P147" s="33"/>
      <c r="Q147" s="33"/>
      <c r="R147" s="33"/>
      <c r="S147" s="33"/>
      <c r="T147" s="33"/>
      <c r="U147" s="33"/>
      <c r="V147" s="33"/>
      <c r="W147" s="33"/>
      <c r="X147" s="33"/>
      <c r="Y147" s="830">
        <v>1</v>
      </c>
      <c r="Z147" s="831"/>
      <c r="AA147" s="72"/>
    </row>
    <row r="148" spans="2:36" ht="17.100000000000001" customHeight="1" thickTop="1">
      <c r="C148" s="24"/>
      <c r="Y148" s="840">
        <f>SUM(Y145:Y147)</f>
        <v>1</v>
      </c>
      <c r="Z148" s="840"/>
      <c r="AA148" s="72" t="s">
        <v>573</v>
      </c>
    </row>
    <row r="149" spans="2:36" ht="17.100000000000001" customHeight="1" thickBot="1">
      <c r="B149" s="27" t="s">
        <v>479</v>
      </c>
      <c r="C149" s="29"/>
      <c r="D149" s="29"/>
      <c r="E149" s="29"/>
      <c r="F149" s="29"/>
      <c r="G149" s="29"/>
      <c r="H149" s="29"/>
      <c r="I149" s="29"/>
      <c r="J149" s="29"/>
      <c r="K149" s="29"/>
      <c r="L149" s="29"/>
      <c r="M149" s="29"/>
      <c r="N149" s="28"/>
      <c r="O149" s="28"/>
      <c r="P149" s="28"/>
      <c r="Q149" s="28"/>
      <c r="R149" s="28"/>
      <c r="S149" s="28"/>
      <c r="T149" s="28"/>
      <c r="U149" s="37"/>
      <c r="V149" s="37"/>
      <c r="W149" s="37"/>
      <c r="X149" s="37"/>
      <c r="Y149" s="37"/>
    </row>
    <row r="150" spans="2:36" ht="8.1" customHeight="1">
      <c r="U150" s="37"/>
      <c r="V150" s="37"/>
      <c r="W150" s="37"/>
      <c r="X150" s="37"/>
      <c r="Y150" s="37"/>
    </row>
    <row r="151" spans="2:36" ht="17.100000000000001" customHeight="1">
      <c r="B151" s="825" t="s">
        <v>477</v>
      </c>
      <c r="C151" s="826"/>
      <c r="D151" s="826"/>
      <c r="E151" s="826"/>
      <c r="F151" s="826"/>
      <c r="G151" s="826"/>
      <c r="H151" s="826"/>
      <c r="I151" s="826"/>
      <c r="J151" s="826"/>
      <c r="K151" s="826"/>
      <c r="L151" s="826"/>
      <c r="M151" s="826"/>
      <c r="N151" s="826"/>
      <c r="O151" s="826"/>
      <c r="P151" s="826"/>
      <c r="Q151" s="826"/>
      <c r="R151" s="826"/>
      <c r="S151" s="826"/>
      <c r="T151" s="826"/>
      <c r="U151" s="826"/>
      <c r="V151" s="826"/>
      <c r="W151" s="826"/>
      <c r="X151" s="826"/>
      <c r="Y151" s="826"/>
      <c r="Z151" s="826"/>
      <c r="AA151" s="826"/>
      <c r="AB151" s="826"/>
      <c r="AC151" s="826"/>
      <c r="AD151" s="826"/>
      <c r="AE151" s="826"/>
      <c r="AF151" s="826"/>
      <c r="AG151" s="826"/>
      <c r="AH151" s="826"/>
      <c r="AI151" s="826"/>
      <c r="AJ151" s="826"/>
    </row>
    <row r="152" spans="2:36" ht="17.100000000000001" customHeight="1" thickBot="1">
      <c r="B152" s="826"/>
      <c r="C152" s="826"/>
      <c r="D152" s="826"/>
      <c r="E152" s="826"/>
      <c r="F152" s="826"/>
      <c r="G152" s="826"/>
      <c r="H152" s="826"/>
      <c r="I152" s="826"/>
      <c r="J152" s="826"/>
      <c r="K152" s="826"/>
      <c r="L152" s="826"/>
      <c r="M152" s="826"/>
      <c r="N152" s="826"/>
      <c r="O152" s="826"/>
      <c r="P152" s="826"/>
      <c r="Q152" s="826"/>
      <c r="R152" s="826"/>
      <c r="S152" s="826"/>
      <c r="T152" s="826"/>
      <c r="U152" s="826"/>
      <c r="V152" s="826"/>
      <c r="W152" s="826"/>
      <c r="X152" s="826"/>
      <c r="Y152" s="826"/>
      <c r="Z152" s="826"/>
      <c r="AA152" s="826"/>
      <c r="AB152" s="826"/>
      <c r="AC152" s="826"/>
      <c r="AD152" s="826"/>
      <c r="AE152" s="826"/>
      <c r="AF152" s="826"/>
      <c r="AG152" s="826"/>
      <c r="AH152" s="826"/>
      <c r="AI152" s="826"/>
      <c r="AJ152" s="826"/>
    </row>
    <row r="153" spans="2:36" ht="17.100000000000001" customHeight="1" thickTop="1" thickBot="1">
      <c r="B153" s="37"/>
      <c r="C153" s="31" t="s">
        <v>466</v>
      </c>
      <c r="D153" s="31"/>
      <c r="E153" s="31"/>
      <c r="F153" s="31"/>
      <c r="G153" s="31"/>
      <c r="H153" s="31"/>
      <c r="I153" s="31"/>
      <c r="J153" s="31"/>
      <c r="K153" s="31"/>
      <c r="L153" s="31"/>
      <c r="M153" s="31"/>
      <c r="N153" s="31"/>
      <c r="O153" s="31"/>
      <c r="P153" s="31"/>
      <c r="Q153" s="32"/>
      <c r="R153" s="32"/>
      <c r="S153" s="841">
        <v>0</v>
      </c>
      <c r="T153" s="842"/>
      <c r="U153" s="22" t="s">
        <v>208</v>
      </c>
      <c r="Y153" s="830">
        <v>0</v>
      </c>
      <c r="Z153" s="831"/>
      <c r="AA153" s="72"/>
    </row>
    <row r="154" spans="2:36" ht="17.100000000000001" customHeight="1" thickTop="1" thickBot="1">
      <c r="C154" s="33" t="s">
        <v>371</v>
      </c>
      <c r="D154" s="33"/>
      <c r="E154" s="33"/>
      <c r="F154" s="33"/>
      <c r="G154" s="33"/>
      <c r="H154" s="33"/>
      <c r="I154" s="33"/>
      <c r="J154" s="33"/>
      <c r="K154" s="33"/>
      <c r="L154" s="33"/>
      <c r="M154" s="33"/>
      <c r="N154" s="33"/>
      <c r="O154" s="33"/>
      <c r="P154" s="33"/>
      <c r="Q154" s="34"/>
      <c r="R154" s="34"/>
      <c r="S154" s="856">
        <v>0</v>
      </c>
      <c r="T154" s="857"/>
      <c r="U154" s="22" t="s">
        <v>208</v>
      </c>
      <c r="Y154" s="830">
        <v>1</v>
      </c>
      <c r="Z154" s="831"/>
      <c r="AA154" s="72"/>
    </row>
    <row r="155" spans="2:36" ht="17.100000000000001" customHeight="1" thickTop="1">
      <c r="C155" s="24"/>
      <c r="N155" s="22"/>
      <c r="O155" s="22"/>
      <c r="P155" s="22"/>
      <c r="R155" s="35" t="s">
        <v>579</v>
      </c>
      <c r="S155" s="838">
        <f>(S153*Y153)+(S154*Y154)</f>
        <v>0</v>
      </c>
      <c r="T155" s="839"/>
      <c r="U155" s="22" t="s">
        <v>208</v>
      </c>
      <c r="Y155" s="840">
        <f>SUM(Y153:Z154)</f>
        <v>1</v>
      </c>
      <c r="Z155" s="840"/>
      <c r="AA155" s="72" t="s">
        <v>573</v>
      </c>
    </row>
    <row r="157" spans="2:36" ht="17.100000000000001" customHeight="1" thickBot="1">
      <c r="B157" s="27" t="s">
        <v>294</v>
      </c>
      <c r="C157" s="29"/>
      <c r="D157" s="29"/>
      <c r="E157" s="29"/>
      <c r="F157" s="29"/>
      <c r="G157" s="29"/>
      <c r="H157" s="29"/>
      <c r="I157" s="29"/>
      <c r="J157" s="29"/>
      <c r="K157" s="29"/>
      <c r="L157" s="29"/>
      <c r="M157" s="29"/>
      <c r="N157" s="28"/>
      <c r="O157" s="28"/>
      <c r="P157" s="28"/>
      <c r="Q157" s="28"/>
      <c r="R157" s="28"/>
      <c r="S157" s="28"/>
      <c r="T157" s="28"/>
    </row>
    <row r="158" spans="2:36" ht="6" customHeight="1"/>
    <row r="159" spans="2:36" ht="17.100000000000001" customHeight="1">
      <c r="B159" s="22" t="s">
        <v>467</v>
      </c>
    </row>
    <row r="160" spans="2:36" ht="17.100000000000001" customHeight="1" thickBot="1">
      <c r="C160" s="22" t="s">
        <v>372</v>
      </c>
    </row>
    <row r="161" spans="3:27" ht="15" thickTop="1" thickBot="1">
      <c r="C161" s="103" t="s">
        <v>419</v>
      </c>
      <c r="D161" s="31"/>
      <c r="E161" s="31"/>
      <c r="F161" s="31"/>
      <c r="G161" s="31"/>
      <c r="H161" s="31"/>
      <c r="I161" s="31"/>
      <c r="J161" s="31"/>
      <c r="K161" s="31"/>
      <c r="L161" s="31"/>
      <c r="M161" s="31"/>
      <c r="N161" s="32"/>
      <c r="O161" s="32"/>
      <c r="P161" s="32"/>
      <c r="Q161" s="32"/>
      <c r="R161" s="32"/>
      <c r="S161" s="32"/>
      <c r="T161" s="32"/>
      <c r="U161" s="32"/>
      <c r="V161" s="32"/>
      <c r="W161" s="32"/>
      <c r="X161" s="32"/>
      <c r="Y161" s="841">
        <v>2</v>
      </c>
      <c r="Z161" s="842"/>
      <c r="AA161" s="22" t="s">
        <v>383</v>
      </c>
    </row>
    <row r="162" spans="3:27" ht="14.25" thickTop="1"/>
    <row r="164" spans="3:27">
      <c r="C164"/>
      <c r="D164"/>
      <c r="E164"/>
      <c r="F164"/>
      <c r="G164"/>
      <c r="H164"/>
      <c r="I164"/>
      <c r="J164"/>
      <c r="K164"/>
      <c r="L164"/>
      <c r="M164"/>
      <c r="N164"/>
      <c r="O164"/>
      <c r="P164"/>
      <c r="Q164"/>
    </row>
    <row r="165" spans="3:27">
      <c r="C165"/>
      <c r="D165"/>
      <c r="E165"/>
      <c r="F165"/>
      <c r="G165"/>
      <c r="H165"/>
      <c r="I165"/>
      <c r="J165"/>
      <c r="K165"/>
      <c r="L165"/>
      <c r="M165"/>
      <c r="N165"/>
      <c r="O165"/>
      <c r="P165"/>
      <c r="Q165"/>
    </row>
    <row r="166" spans="3:27">
      <c r="C166"/>
      <c r="D166"/>
      <c r="E166"/>
      <c r="F166"/>
      <c r="G166"/>
      <c r="H166"/>
      <c r="I166"/>
      <c r="J166"/>
      <c r="K166"/>
      <c r="L166"/>
      <c r="M166"/>
      <c r="N166"/>
      <c r="O166"/>
      <c r="P166"/>
      <c r="Q166"/>
    </row>
    <row r="167" spans="3:27">
      <c r="C167"/>
      <c r="D167"/>
      <c r="E167"/>
      <c r="F167"/>
      <c r="G167"/>
      <c r="H167"/>
      <c r="I167"/>
      <c r="J167"/>
      <c r="K167"/>
      <c r="L167"/>
      <c r="M167"/>
      <c r="N167"/>
      <c r="O167"/>
      <c r="P167"/>
      <c r="Q167"/>
    </row>
    <row r="168" spans="3:27">
      <c r="C168"/>
      <c r="D168"/>
      <c r="E168"/>
      <c r="F168"/>
      <c r="G168"/>
      <c r="H168"/>
      <c r="I168"/>
      <c r="J168"/>
      <c r="K168"/>
      <c r="L168"/>
      <c r="M168"/>
      <c r="N168"/>
      <c r="O168"/>
      <c r="P168"/>
      <c r="Q168"/>
    </row>
    <row r="169" spans="3:27">
      <c r="C169"/>
      <c r="D169"/>
      <c r="E169"/>
      <c r="F169"/>
      <c r="G169"/>
      <c r="H169"/>
      <c r="I169"/>
      <c r="J169"/>
      <c r="K169"/>
      <c r="L169"/>
      <c r="M169"/>
      <c r="N169"/>
      <c r="O169"/>
      <c r="P169"/>
      <c r="Q169"/>
    </row>
    <row r="170" spans="3:27">
      <c r="C170"/>
      <c r="D170"/>
      <c r="E170"/>
      <c r="F170"/>
      <c r="G170"/>
      <c r="H170"/>
      <c r="I170"/>
      <c r="J170"/>
      <c r="K170"/>
      <c r="L170"/>
      <c r="M170"/>
      <c r="N170"/>
      <c r="O170"/>
      <c r="P170"/>
      <c r="Q170"/>
    </row>
    <row r="171" spans="3:27">
      <c r="C171"/>
      <c r="D171"/>
      <c r="E171"/>
      <c r="F171"/>
      <c r="G171"/>
      <c r="H171"/>
      <c r="I171"/>
      <c r="J171"/>
      <c r="K171"/>
      <c r="L171"/>
      <c r="M171"/>
      <c r="N171"/>
      <c r="O171"/>
      <c r="P171"/>
      <c r="Q171"/>
    </row>
    <row r="172" spans="3:27">
      <c r="C172"/>
      <c r="D172"/>
      <c r="E172"/>
      <c r="F172"/>
      <c r="G172"/>
      <c r="H172"/>
      <c r="I172"/>
      <c r="J172"/>
      <c r="K172"/>
      <c r="L172"/>
      <c r="M172"/>
      <c r="N172"/>
      <c r="O172"/>
      <c r="P172"/>
      <c r="Q172"/>
    </row>
    <row r="173" spans="3:27">
      <c r="C173"/>
      <c r="D173"/>
      <c r="E173"/>
      <c r="F173"/>
      <c r="G173"/>
      <c r="H173"/>
      <c r="I173"/>
      <c r="J173"/>
      <c r="K173"/>
      <c r="L173"/>
      <c r="M173"/>
      <c r="N173"/>
      <c r="O173"/>
      <c r="P173"/>
      <c r="Q173"/>
    </row>
    <row r="174" spans="3:27">
      <c r="C174"/>
      <c r="D174"/>
      <c r="E174"/>
      <c r="F174"/>
      <c r="G174"/>
      <c r="H174"/>
      <c r="I174"/>
      <c r="J174"/>
      <c r="K174"/>
      <c r="L174"/>
      <c r="M174"/>
      <c r="N174"/>
      <c r="O174"/>
      <c r="P174"/>
      <c r="Q174"/>
    </row>
    <row r="175" spans="3:27">
      <c r="C175"/>
      <c r="D175"/>
      <c r="E175"/>
      <c r="F175"/>
      <c r="G175"/>
      <c r="H175"/>
      <c r="I175"/>
      <c r="J175"/>
      <c r="K175"/>
      <c r="L175"/>
      <c r="M175"/>
      <c r="N175"/>
      <c r="O175"/>
      <c r="P175"/>
      <c r="Q175"/>
    </row>
  </sheetData>
  <sheetProtection password="CF68" sheet="1" objects="1" scenarios="1"/>
  <mergeCells count="109">
    <mergeCell ref="S153:T153"/>
    <mergeCell ref="Y129:Z129"/>
    <mergeCell ref="T138:U138"/>
    <mergeCell ref="T139:U139"/>
    <mergeCell ref="Y148:Z148"/>
    <mergeCell ref="Y161:Z161"/>
    <mergeCell ref="S155:T155"/>
    <mergeCell ref="Y155:Z155"/>
    <mergeCell ref="Y138:Z138"/>
    <mergeCell ref="Y139:Z139"/>
    <mergeCell ref="B151:AJ152"/>
    <mergeCell ref="Y118:Z118"/>
    <mergeCell ref="Y109:Z109"/>
    <mergeCell ref="Y145:Z145"/>
    <mergeCell ref="Y146:Z146"/>
    <mergeCell ref="Y147:Z147"/>
    <mergeCell ref="B123:AJ123"/>
    <mergeCell ref="B140:AJ140"/>
    <mergeCell ref="Y137:Z137"/>
    <mergeCell ref="B114:AJ115"/>
    <mergeCell ref="B135:AI136"/>
    <mergeCell ref="Y43:Z43"/>
    <mergeCell ref="Y32:Z32"/>
    <mergeCell ref="Y132:Z132"/>
    <mergeCell ref="S116:T116"/>
    <mergeCell ref="Y116:Z116"/>
    <mergeCell ref="Y48:Z48"/>
    <mergeCell ref="Y45:Z45"/>
    <mergeCell ref="Y38:Z38"/>
    <mergeCell ref="Y84:Z84"/>
    <mergeCell ref="T137:U137"/>
    <mergeCell ref="Y131:Z131"/>
    <mergeCell ref="S117:T117"/>
    <mergeCell ref="Y117:Z117"/>
    <mergeCell ref="S118:T118"/>
    <mergeCell ref="S65:T65"/>
    <mergeCell ref="S66:T66"/>
    <mergeCell ref="S67:T67"/>
    <mergeCell ref="S69:T69"/>
    <mergeCell ref="S81:T81"/>
    <mergeCell ref="Y153:Z153"/>
    <mergeCell ref="S154:T154"/>
    <mergeCell ref="Y154:Z154"/>
    <mergeCell ref="Y19:Z19"/>
    <mergeCell ref="S70:T70"/>
    <mergeCell ref="B78:AJ80"/>
    <mergeCell ref="Y66:Z66"/>
    <mergeCell ref="Y65:Z65"/>
    <mergeCell ref="Y58:Z58"/>
    <mergeCell ref="Y29:Z29"/>
    <mergeCell ref="Y11:Z11"/>
    <mergeCell ref="S14:T14"/>
    <mergeCell ref="S13:T13"/>
    <mergeCell ref="S12:T12"/>
    <mergeCell ref="S11:T11"/>
    <mergeCell ref="Y14:Z14"/>
    <mergeCell ref="Y13:Z13"/>
    <mergeCell ref="Y12:Z12"/>
    <mergeCell ref="Y18:Z18"/>
    <mergeCell ref="Y25:Z25"/>
    <mergeCell ref="Y24:Z24"/>
    <mergeCell ref="Y23:Z23"/>
    <mergeCell ref="Y21:Z21"/>
    <mergeCell ref="Y22:Z22"/>
    <mergeCell ref="Y20:Z20"/>
    <mergeCell ref="Y31:Z31"/>
    <mergeCell ref="Y70:Z70"/>
    <mergeCell ref="Y69:Z69"/>
    <mergeCell ref="Y68:Z68"/>
    <mergeCell ref="Y67:Z67"/>
    <mergeCell ref="Y75:Z75"/>
    <mergeCell ref="B59:AJ59"/>
    <mergeCell ref="B50:AJ50"/>
    <mergeCell ref="S68:T68"/>
    <mergeCell ref="S83:T83"/>
    <mergeCell ref="S82:T82"/>
    <mergeCell ref="Y96:Z96"/>
    <mergeCell ref="Y83:Z83"/>
    <mergeCell ref="Y82:Z82"/>
    <mergeCell ref="Y88:Z88"/>
    <mergeCell ref="Y92:Z92"/>
    <mergeCell ref="Y91:Z91"/>
    <mergeCell ref="Y90:Z90"/>
    <mergeCell ref="S84:T84"/>
    <mergeCell ref="Y81:Z81"/>
    <mergeCell ref="Y104:Z104"/>
    <mergeCell ref="Y99:Z99"/>
    <mergeCell ref="Y98:Z98"/>
    <mergeCell ref="Y97:Z97"/>
    <mergeCell ref="Y89:Z89"/>
    <mergeCell ref="S120:T120"/>
    <mergeCell ref="Y120:Z120"/>
    <mergeCell ref="S121:T121"/>
    <mergeCell ref="Y121:Z121"/>
    <mergeCell ref="Y108:Z108"/>
    <mergeCell ref="Y110:Z110"/>
    <mergeCell ref="Y111:Z111"/>
    <mergeCell ref="S119:T119"/>
    <mergeCell ref="Y119:Z119"/>
    <mergeCell ref="W2:X2"/>
    <mergeCell ref="Y2:Z2"/>
    <mergeCell ref="Y3:Z3"/>
    <mergeCell ref="B63:AJ64"/>
    <mergeCell ref="B8:AJ10"/>
    <mergeCell ref="B4:AJ4"/>
    <mergeCell ref="Y55:Z55"/>
    <mergeCell ref="Y56:Z56"/>
    <mergeCell ref="Y57:Z57"/>
    <mergeCell ref="Y30:Z30"/>
  </mergeCells>
  <phoneticPr fontId="2"/>
  <pageMargins left="0.39370078740157483" right="0.39370078740157483" top="0.51181102362204722" bottom="0.55118110236220474" header="0.51181102362204722" footer="0.51181102362204722"/>
  <pageSetup paperSize="9" scale="75" fitToHeight="0" orientation="portrait" r:id="rId1"/>
  <headerFooter alignWithMargins="0"/>
  <rowBreaks count="2" manualBreakCount="2">
    <brk id="58" min="1" max="35" man="1"/>
    <brk id="122" min="1" max="35"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enableFormatConditionsCalculation="0">
    <tabColor indexed="51"/>
    <pageSetUpPr fitToPage="1"/>
  </sheetPr>
  <dimension ref="A1:AJ48"/>
  <sheetViews>
    <sheetView showGridLines="0" zoomScaleNormal="100" workbookViewId="0">
      <selection activeCell="AM29" sqref="AM29"/>
    </sheetView>
  </sheetViews>
  <sheetFormatPr defaultRowHeight="13.5"/>
  <cols>
    <col min="1" max="2" width="3.625" style="21" customWidth="1"/>
    <col min="3" max="3" width="3.625" style="26" customWidth="1"/>
    <col min="4" max="48" width="3.625" style="21" customWidth="1"/>
    <col min="49" max="16384" width="9" style="21"/>
  </cols>
  <sheetData>
    <row r="1" spans="1:36" ht="21.75" thickBot="1">
      <c r="A1" s="20"/>
      <c r="B1" s="30" t="s">
        <v>676</v>
      </c>
    </row>
    <row r="2" spans="1:36" ht="17.100000000000001" customHeight="1" thickTop="1" thickBot="1">
      <c r="B2" s="22" t="s">
        <v>584</v>
      </c>
      <c r="C2" s="22"/>
      <c r="D2" s="22"/>
      <c r="E2" s="22"/>
      <c r="F2" s="22"/>
      <c r="G2" s="22"/>
      <c r="H2" s="22"/>
      <c r="I2" s="22"/>
      <c r="J2" s="22"/>
      <c r="K2" s="22"/>
      <c r="L2" s="22"/>
      <c r="M2" s="22"/>
      <c r="W2" s="819"/>
      <c r="X2" s="820"/>
      <c r="Y2" s="821"/>
      <c r="Z2" s="822"/>
      <c r="AA2" s="22" t="s">
        <v>377</v>
      </c>
    </row>
    <row r="3" spans="1:36" ht="17.100000000000001" customHeight="1" thickTop="1">
      <c r="B3" s="22" t="s">
        <v>582</v>
      </c>
      <c r="C3" s="22"/>
      <c r="D3" s="22"/>
      <c r="E3" s="22"/>
      <c r="F3" s="22"/>
      <c r="G3" s="22"/>
      <c r="H3" s="22"/>
      <c r="I3" s="22"/>
      <c r="J3" s="22"/>
      <c r="K3" s="22"/>
      <c r="L3" s="22"/>
      <c r="M3" s="22"/>
      <c r="Y3" s="823"/>
      <c r="Z3" s="824"/>
      <c r="AA3" s="22" t="s">
        <v>378</v>
      </c>
    </row>
    <row r="4" spans="1:36" s="22" customFormat="1" ht="12">
      <c r="C4" s="24"/>
    </row>
    <row r="5" spans="1:36" s="22" customFormat="1" ht="17.100000000000001" customHeight="1">
      <c r="B5" s="827" t="s">
        <v>379</v>
      </c>
      <c r="C5" s="828"/>
      <c r="D5" s="828"/>
      <c r="E5" s="828"/>
      <c r="F5" s="828"/>
      <c r="G5" s="828"/>
      <c r="H5" s="828"/>
      <c r="I5" s="828"/>
      <c r="J5" s="828"/>
      <c r="K5" s="828"/>
      <c r="L5" s="828"/>
      <c r="M5" s="828"/>
      <c r="N5" s="828"/>
      <c r="O5" s="828"/>
      <c r="P5" s="828"/>
      <c r="Q5" s="828"/>
      <c r="R5" s="828"/>
      <c r="S5" s="828"/>
      <c r="T5" s="828"/>
      <c r="U5" s="828"/>
      <c r="V5" s="828"/>
      <c r="W5" s="828"/>
      <c r="X5" s="828"/>
      <c r="Y5" s="828"/>
      <c r="Z5" s="828"/>
      <c r="AA5" s="828"/>
      <c r="AB5" s="828"/>
      <c r="AC5" s="828"/>
      <c r="AD5" s="828"/>
      <c r="AE5" s="828"/>
      <c r="AF5" s="828"/>
      <c r="AG5" s="828"/>
      <c r="AH5" s="828"/>
      <c r="AI5" s="828"/>
      <c r="AJ5" s="829"/>
    </row>
    <row r="6" spans="1:36" customFormat="1" ht="8.1" customHeight="1">
      <c r="C6" s="99"/>
      <c r="D6" s="99"/>
      <c r="E6" s="99"/>
      <c r="F6" s="99"/>
      <c r="G6" s="99"/>
      <c r="H6" s="99"/>
      <c r="I6" s="99"/>
      <c r="J6" s="99"/>
      <c r="K6" s="99"/>
      <c r="L6" s="99"/>
      <c r="M6" s="99"/>
    </row>
    <row r="7" spans="1:36" ht="17.100000000000001" customHeight="1" thickBot="1">
      <c r="B7" s="27" t="s">
        <v>380</v>
      </c>
      <c r="C7" s="29"/>
      <c r="D7" s="29"/>
      <c r="E7" s="29"/>
      <c r="F7" s="29"/>
      <c r="G7" s="29"/>
      <c r="H7" s="29"/>
      <c r="I7" s="29"/>
      <c r="J7" s="29"/>
      <c r="K7" s="29"/>
      <c r="L7" s="29"/>
      <c r="M7" s="29"/>
      <c r="N7" s="28"/>
      <c r="O7" s="28"/>
      <c r="P7" s="28"/>
      <c r="Q7" s="28"/>
      <c r="R7" s="28"/>
      <c r="S7" s="28"/>
      <c r="T7" s="28"/>
      <c r="U7" s="37"/>
      <c r="V7" s="37"/>
      <c r="W7" s="22"/>
    </row>
    <row r="8" spans="1:36" ht="8.1" customHeight="1">
      <c r="C8" s="22"/>
      <c r="D8" s="22"/>
      <c r="E8" s="22"/>
      <c r="F8" s="22"/>
      <c r="G8" s="22"/>
      <c r="H8" s="22"/>
      <c r="I8" s="22"/>
      <c r="J8" s="22"/>
      <c r="K8" s="22"/>
      <c r="L8" s="22"/>
      <c r="M8" s="22"/>
      <c r="U8" s="37"/>
      <c r="V8" s="37"/>
      <c r="W8" s="22"/>
    </row>
    <row r="9" spans="1:36" ht="17.100000000000001" customHeight="1">
      <c r="B9" s="22" t="s">
        <v>381</v>
      </c>
      <c r="C9" s="22"/>
      <c r="D9" s="22"/>
      <c r="E9" s="22"/>
      <c r="F9" s="22"/>
      <c r="G9" s="22"/>
      <c r="H9" s="22"/>
      <c r="I9" s="22"/>
      <c r="J9" s="22"/>
      <c r="K9" s="22"/>
      <c r="L9" s="22"/>
      <c r="M9" s="22"/>
      <c r="U9" s="37"/>
      <c r="V9" s="37"/>
      <c r="W9" s="22"/>
    </row>
    <row r="10" spans="1:36" s="22" customFormat="1" ht="17.100000000000001" customHeight="1">
      <c r="C10" s="22" t="s">
        <v>380</v>
      </c>
      <c r="N10" s="21"/>
      <c r="O10" s="21"/>
      <c r="P10" s="21"/>
      <c r="Q10" s="21"/>
      <c r="R10" s="21"/>
      <c r="S10" s="21"/>
      <c r="T10" s="21"/>
      <c r="U10" s="21"/>
      <c r="V10" s="21"/>
      <c r="W10" s="21"/>
      <c r="X10" s="21"/>
      <c r="Y10" s="21"/>
      <c r="Z10" s="21"/>
      <c r="AA10" s="21"/>
      <c r="AB10" s="21"/>
    </row>
    <row r="11" spans="1:36" s="22" customFormat="1" ht="17.100000000000001" customHeight="1" thickBot="1">
      <c r="C11" s="100" t="s">
        <v>382</v>
      </c>
      <c r="AB11" s="21"/>
    </row>
    <row r="12" spans="1:36" s="22" customFormat="1" ht="17.100000000000001" customHeight="1" thickTop="1" thickBot="1">
      <c r="C12" s="530" t="s">
        <v>677</v>
      </c>
      <c r="D12" s="530"/>
      <c r="E12" s="530"/>
      <c r="F12" s="530"/>
      <c r="G12" s="530"/>
      <c r="H12" s="530"/>
      <c r="I12" s="530"/>
      <c r="J12" s="530"/>
      <c r="K12" s="530"/>
      <c r="L12" s="530"/>
      <c r="M12" s="530"/>
      <c r="N12" s="531"/>
      <c r="O12" s="531"/>
      <c r="P12" s="531"/>
      <c r="Q12" s="32"/>
      <c r="R12" s="32"/>
      <c r="S12" s="32"/>
      <c r="T12" s="32"/>
      <c r="U12" s="32"/>
      <c r="V12" s="32"/>
      <c r="W12" s="32"/>
      <c r="X12" s="32"/>
      <c r="Y12" s="841">
        <v>0</v>
      </c>
      <c r="Z12" s="842"/>
      <c r="AA12" s="22" t="s">
        <v>383</v>
      </c>
      <c r="AB12" s="21"/>
    </row>
    <row r="13" spans="1:36" s="22" customFormat="1" ht="17.100000000000001" customHeight="1" thickTop="1">
      <c r="C13" s="24"/>
    </row>
    <row r="14" spans="1:36" s="22" customFormat="1" ht="17.100000000000001" customHeight="1">
      <c r="B14" s="827" t="s">
        <v>384</v>
      </c>
      <c r="C14" s="828"/>
      <c r="D14" s="828"/>
      <c r="E14" s="828"/>
      <c r="F14" s="828"/>
      <c r="G14" s="828"/>
      <c r="H14" s="828"/>
      <c r="I14" s="828"/>
      <c r="J14" s="828"/>
      <c r="K14" s="828"/>
      <c r="L14" s="828"/>
      <c r="M14" s="828"/>
      <c r="N14" s="828"/>
      <c r="O14" s="828"/>
      <c r="P14" s="828"/>
      <c r="Q14" s="828"/>
      <c r="R14" s="828"/>
      <c r="S14" s="828"/>
      <c r="T14" s="828"/>
      <c r="U14" s="828"/>
      <c r="V14" s="828"/>
      <c r="W14" s="828"/>
      <c r="X14" s="828"/>
      <c r="Y14" s="828"/>
      <c r="Z14" s="828"/>
      <c r="AA14" s="828"/>
      <c r="AB14" s="828"/>
      <c r="AC14" s="828"/>
      <c r="AD14" s="828"/>
      <c r="AE14" s="828"/>
      <c r="AF14" s="828"/>
      <c r="AG14" s="828"/>
      <c r="AH14" s="828"/>
      <c r="AI14" s="828"/>
      <c r="AJ14" s="829"/>
    </row>
    <row r="15" spans="1:36" customFormat="1" ht="8.1" customHeight="1">
      <c r="C15" s="99"/>
      <c r="D15" s="99"/>
      <c r="E15" s="99"/>
      <c r="F15" s="99"/>
      <c r="G15" s="99"/>
      <c r="H15" s="99"/>
      <c r="I15" s="99"/>
      <c r="J15" s="99"/>
      <c r="K15" s="99"/>
      <c r="L15" s="99"/>
      <c r="M15" s="99"/>
    </row>
    <row r="16" spans="1:36" ht="17.100000000000001" customHeight="1" thickBot="1">
      <c r="B16" s="27" t="s">
        <v>384</v>
      </c>
      <c r="C16" s="29"/>
      <c r="D16" s="29"/>
      <c r="E16" s="29"/>
      <c r="F16" s="29"/>
      <c r="G16" s="29"/>
      <c r="H16" s="29"/>
      <c r="I16" s="29"/>
      <c r="J16" s="29"/>
      <c r="K16" s="29"/>
      <c r="L16" s="29"/>
      <c r="M16" s="29"/>
      <c r="N16" s="28"/>
      <c r="O16" s="28"/>
      <c r="P16" s="28"/>
      <c r="Q16" s="28"/>
      <c r="R16" s="28"/>
      <c r="S16" s="28"/>
      <c r="T16" s="28"/>
      <c r="U16" s="37"/>
      <c r="V16" s="37"/>
      <c r="W16" s="22"/>
    </row>
    <row r="17" spans="2:36" ht="8.1" customHeight="1">
      <c r="C17" s="22"/>
      <c r="D17" s="22"/>
      <c r="E17" s="22"/>
      <c r="F17" s="22"/>
      <c r="G17" s="22"/>
      <c r="H17" s="22"/>
      <c r="I17" s="22"/>
      <c r="J17" s="22"/>
      <c r="K17" s="22"/>
      <c r="L17" s="22"/>
      <c r="M17" s="22"/>
      <c r="U17" s="37"/>
      <c r="V17" s="37"/>
      <c r="W17" s="22"/>
    </row>
    <row r="18" spans="2:36" ht="17.100000000000001" customHeight="1" thickBot="1">
      <c r="B18" s="56"/>
      <c r="C18" s="57"/>
      <c r="D18" s="57"/>
      <c r="E18" s="57"/>
      <c r="F18" s="57"/>
      <c r="G18" s="57"/>
      <c r="H18" s="57"/>
      <c r="I18" s="57"/>
      <c r="J18" s="57"/>
      <c r="K18" s="57"/>
      <c r="L18" s="57"/>
      <c r="M18" s="57"/>
      <c r="N18" s="57"/>
      <c r="O18" s="57"/>
      <c r="P18" s="57"/>
      <c r="Q18" s="57"/>
      <c r="R18" s="92"/>
      <c r="S18" s="95"/>
      <c r="T18" s="93"/>
      <c r="U18" s="90"/>
      <c r="V18" s="94"/>
      <c r="W18" s="94" t="s">
        <v>522</v>
      </c>
      <c r="X18" s="51"/>
      <c r="Y18" s="52"/>
      <c r="Z18" s="95" t="s">
        <v>415</v>
      </c>
      <c r="AA18" s="57"/>
      <c r="AB18" s="57"/>
      <c r="AC18" s="57"/>
      <c r="AD18" s="57"/>
      <c r="AE18" s="57"/>
      <c r="AF18" s="57"/>
      <c r="AG18" s="57"/>
      <c r="AH18" s="57"/>
      <c r="AI18" s="51"/>
      <c r="AJ18" s="52"/>
    </row>
    <row r="19" spans="2:36" ht="17.100000000000001" customHeight="1" thickTop="1" thickBot="1">
      <c r="B19" s="64" t="s">
        <v>416</v>
      </c>
      <c r="C19" s="65"/>
      <c r="D19" s="65"/>
      <c r="E19" s="65"/>
      <c r="F19" s="65"/>
      <c r="G19" s="65"/>
      <c r="H19" s="65"/>
      <c r="I19" s="65"/>
      <c r="J19" s="65"/>
      <c r="K19" s="65"/>
      <c r="L19" s="65"/>
      <c r="M19" s="65"/>
      <c r="N19" s="65"/>
      <c r="O19" s="65"/>
      <c r="P19" s="65"/>
      <c r="Q19" s="65"/>
      <c r="R19" s="66"/>
      <c r="S19" s="101"/>
      <c r="T19" s="65" t="s">
        <v>373</v>
      </c>
      <c r="U19" s="880">
        <v>2400</v>
      </c>
      <c r="V19" s="881"/>
      <c r="W19" s="59" t="s">
        <v>581</v>
      </c>
      <c r="X19" s="59"/>
      <c r="Y19" s="54"/>
      <c r="Z19" s="74"/>
      <c r="AA19" s="59"/>
      <c r="AB19" s="59"/>
      <c r="AC19" s="59"/>
      <c r="AD19" s="59"/>
      <c r="AE19" s="59"/>
      <c r="AF19" s="59"/>
      <c r="AG19" s="59"/>
      <c r="AH19" s="59"/>
      <c r="AI19" s="53"/>
      <c r="AJ19" s="54"/>
    </row>
    <row r="20" spans="2:36" ht="17.100000000000001" customHeight="1" thickTop="1" thickBot="1">
      <c r="B20" s="41" t="s">
        <v>420</v>
      </c>
      <c r="C20" s="39"/>
      <c r="D20" s="39"/>
      <c r="E20" s="39"/>
      <c r="F20" s="39"/>
      <c r="G20" s="39"/>
      <c r="H20" s="39"/>
      <c r="I20" s="39"/>
      <c r="J20" s="39"/>
      <c r="K20" s="39"/>
      <c r="L20" s="39"/>
      <c r="M20" s="39"/>
      <c r="N20" s="39"/>
      <c r="O20" s="39"/>
      <c r="P20" s="39"/>
      <c r="Q20" s="39"/>
      <c r="R20" s="45"/>
      <c r="S20" s="102"/>
      <c r="T20" s="39" t="s">
        <v>374</v>
      </c>
      <c r="U20" s="882">
        <v>0</v>
      </c>
      <c r="V20" s="883"/>
      <c r="W20" s="61" t="s">
        <v>581</v>
      </c>
      <c r="X20" s="33"/>
      <c r="Y20" s="55"/>
      <c r="Z20" s="75"/>
      <c r="AA20" s="33"/>
      <c r="AB20" s="33"/>
      <c r="AC20" s="33"/>
      <c r="AD20" s="33"/>
      <c r="AE20" s="33"/>
      <c r="AF20" s="33"/>
      <c r="AG20" s="33"/>
      <c r="AH20" s="33"/>
      <c r="AI20" s="34"/>
      <c r="AJ20" s="55"/>
    </row>
    <row r="21" spans="2:36" ht="17.100000000000001" customHeight="1" thickTop="1" thickBot="1">
      <c r="B21" s="41"/>
      <c r="C21" s="39" t="s">
        <v>421</v>
      </c>
      <c r="D21" s="39"/>
      <c r="E21" s="39"/>
      <c r="F21" s="39"/>
      <c r="G21" s="39"/>
      <c r="H21" s="39"/>
      <c r="I21" s="39"/>
      <c r="J21" s="39"/>
      <c r="K21" s="39"/>
      <c r="L21" s="39"/>
      <c r="M21" s="39"/>
      <c r="N21" s="39"/>
      <c r="O21" s="39"/>
      <c r="P21" s="39"/>
      <c r="Q21" s="84"/>
      <c r="R21" s="86"/>
      <c r="S21" s="102"/>
      <c r="T21" s="91" t="s">
        <v>527</v>
      </c>
      <c r="U21" s="830">
        <v>0</v>
      </c>
      <c r="V21" s="831"/>
      <c r="W21" s="61"/>
      <c r="X21" s="33"/>
      <c r="Y21" s="55"/>
      <c r="Z21" s="874" t="s">
        <v>422</v>
      </c>
      <c r="AA21" s="875"/>
      <c r="AB21" s="875"/>
      <c r="AC21" s="875"/>
      <c r="AD21" s="875"/>
      <c r="AE21" s="875"/>
      <c r="AF21" s="875"/>
      <c r="AG21" s="875"/>
      <c r="AH21" s="875"/>
      <c r="AI21" s="875"/>
      <c r="AJ21" s="876"/>
    </row>
    <row r="22" spans="2:36" ht="17.100000000000001" customHeight="1" thickTop="1" thickBot="1">
      <c r="B22" s="41"/>
      <c r="C22" s="39"/>
      <c r="D22" s="39"/>
      <c r="E22" s="39"/>
      <c r="F22" s="39"/>
      <c r="G22" s="39"/>
      <c r="H22" s="39"/>
      <c r="I22" s="39"/>
      <c r="J22" s="39"/>
      <c r="K22" s="39"/>
      <c r="L22" s="39"/>
      <c r="M22" s="39"/>
      <c r="N22" s="39"/>
      <c r="O22" s="39"/>
      <c r="P22" s="104"/>
      <c r="Q22" s="85"/>
      <c r="R22" s="87"/>
      <c r="S22" s="102"/>
      <c r="T22" s="91" t="s">
        <v>588</v>
      </c>
      <c r="U22" s="830">
        <v>0</v>
      </c>
      <c r="V22" s="831"/>
      <c r="W22" s="33"/>
      <c r="X22" s="33"/>
      <c r="Y22" s="55"/>
      <c r="Z22" s="877"/>
      <c r="AA22" s="878"/>
      <c r="AB22" s="878"/>
      <c r="AC22" s="878"/>
      <c r="AD22" s="878"/>
      <c r="AE22" s="878"/>
      <c r="AF22" s="878"/>
      <c r="AG22" s="878"/>
      <c r="AH22" s="878"/>
      <c r="AI22" s="878"/>
      <c r="AJ22" s="879"/>
    </row>
    <row r="23" spans="2:36" ht="17.100000000000001" customHeight="1" thickTop="1">
      <c r="B23" s="41" t="s">
        <v>410</v>
      </c>
      <c r="C23" s="39"/>
      <c r="D23" s="39"/>
      <c r="E23" s="39"/>
      <c r="F23" s="39"/>
      <c r="G23" s="39"/>
      <c r="H23" s="39"/>
      <c r="I23" s="39"/>
      <c r="J23" s="39"/>
      <c r="K23" s="39"/>
      <c r="L23" s="39"/>
      <c r="M23" s="39"/>
      <c r="N23" s="39"/>
      <c r="O23" s="39"/>
      <c r="P23" s="39"/>
      <c r="Q23" s="39"/>
      <c r="R23" s="46"/>
      <c r="S23" s="102"/>
      <c r="T23" s="39" t="s">
        <v>375</v>
      </c>
      <c r="U23" s="872">
        <f>現業務調査!Y43</f>
        <v>3</v>
      </c>
      <c r="V23" s="873"/>
      <c r="W23" s="33" t="s">
        <v>574</v>
      </c>
      <c r="X23" s="116"/>
      <c r="Y23" s="55"/>
      <c r="Z23" s="117" t="s">
        <v>423</v>
      </c>
      <c r="AA23" s="31"/>
      <c r="AB23" s="31"/>
      <c r="AC23" s="31"/>
      <c r="AD23" s="31"/>
      <c r="AE23" s="31"/>
      <c r="AF23" s="31"/>
      <c r="AG23" s="31"/>
      <c r="AH23" s="31"/>
      <c r="AI23" s="32"/>
      <c r="AJ23" s="118"/>
    </row>
    <row r="24" spans="2:36" ht="17.100000000000001" customHeight="1">
      <c r="B24" s="41"/>
      <c r="C24" s="39"/>
      <c r="D24" s="39"/>
      <c r="E24" s="39"/>
      <c r="F24" s="39"/>
      <c r="G24" s="39"/>
      <c r="H24" s="39"/>
      <c r="I24" s="39"/>
      <c r="J24" s="39"/>
      <c r="K24" s="39"/>
      <c r="L24" s="39"/>
      <c r="M24" s="39"/>
      <c r="N24" s="39"/>
      <c r="O24" s="39"/>
      <c r="P24" s="39"/>
      <c r="Q24" s="39"/>
      <c r="R24" s="46"/>
      <c r="S24" s="102"/>
      <c r="T24" s="39"/>
      <c r="U24" s="37"/>
      <c r="V24" s="37"/>
      <c r="W24" s="33"/>
      <c r="X24" s="33"/>
      <c r="Y24" s="55"/>
      <c r="Z24" s="89"/>
      <c r="AA24" s="33"/>
      <c r="AB24" s="33"/>
      <c r="AC24" s="33"/>
      <c r="AD24" s="33"/>
      <c r="AE24" s="33"/>
      <c r="AF24" s="33"/>
      <c r="AG24" s="33"/>
      <c r="AH24" s="33"/>
      <c r="AI24" s="34"/>
      <c r="AJ24" s="55"/>
    </row>
    <row r="25" spans="2:36" ht="17.100000000000001" customHeight="1">
      <c r="B25" s="41" t="s">
        <v>558</v>
      </c>
      <c r="C25" s="39"/>
      <c r="D25" s="39"/>
      <c r="E25" s="39"/>
      <c r="F25" s="39"/>
      <c r="G25" s="39"/>
      <c r="H25" s="39"/>
      <c r="I25" s="39"/>
      <c r="J25" s="39"/>
      <c r="K25" s="39"/>
      <c r="L25" s="39"/>
      <c r="M25" s="39"/>
      <c r="N25" s="39"/>
      <c r="O25" s="39"/>
      <c r="P25" s="39"/>
      <c r="Q25" s="39"/>
      <c r="R25" s="47"/>
      <c r="S25" s="102"/>
      <c r="T25" s="39"/>
      <c r="U25" s="868">
        <f>U19*現業務調査!Y43</f>
        <v>7200</v>
      </c>
      <c r="V25" s="869"/>
      <c r="W25" s="33" t="s">
        <v>575</v>
      </c>
      <c r="X25" s="33"/>
      <c r="Y25" s="55"/>
      <c r="Z25" s="88" t="s">
        <v>661</v>
      </c>
      <c r="AA25" s="33"/>
      <c r="AB25" s="33"/>
      <c r="AC25" s="33"/>
      <c r="AD25" s="33"/>
      <c r="AE25" s="33"/>
      <c r="AF25" s="33"/>
      <c r="AG25" s="33"/>
      <c r="AH25" s="33"/>
      <c r="AI25" s="34"/>
      <c r="AJ25" s="55"/>
    </row>
    <row r="26" spans="2:36" ht="17.100000000000001" customHeight="1">
      <c r="B26" s="41" t="s">
        <v>559</v>
      </c>
      <c r="C26" s="39"/>
      <c r="D26" s="39"/>
      <c r="E26" s="39"/>
      <c r="F26" s="39"/>
      <c r="G26" s="39"/>
      <c r="H26" s="39"/>
      <c r="I26" s="39"/>
      <c r="J26" s="39"/>
      <c r="K26" s="39"/>
      <c r="L26" s="39"/>
      <c r="M26" s="39"/>
      <c r="N26" s="39"/>
      <c r="O26" s="39"/>
      <c r="P26" s="39"/>
      <c r="Q26" s="39"/>
      <c r="R26" s="47"/>
      <c r="S26" s="39"/>
      <c r="T26" s="39"/>
      <c r="U26" s="868">
        <f>$U$25</f>
        <v>7200</v>
      </c>
      <c r="V26" s="869"/>
      <c r="W26" s="33" t="s">
        <v>575</v>
      </c>
      <c r="X26" s="33"/>
      <c r="Y26" s="55"/>
      <c r="Z26" s="88" t="s">
        <v>661</v>
      </c>
      <c r="AA26" s="33"/>
      <c r="AB26" s="33"/>
      <c r="AC26" s="33"/>
      <c r="AD26" s="33"/>
      <c r="AE26" s="33"/>
      <c r="AF26" s="33"/>
      <c r="AG26" s="33"/>
      <c r="AH26" s="33"/>
      <c r="AI26" s="34"/>
      <c r="AJ26" s="55"/>
    </row>
    <row r="27" spans="2:36" ht="17.100000000000001" customHeight="1">
      <c r="B27" s="41" t="s">
        <v>560</v>
      </c>
      <c r="C27" s="39"/>
      <c r="D27" s="39"/>
      <c r="E27" s="39"/>
      <c r="F27" s="39"/>
      <c r="G27" s="39"/>
      <c r="H27" s="39"/>
      <c r="I27" s="39"/>
      <c r="J27" s="39"/>
      <c r="K27" s="39"/>
      <c r="L27" s="39"/>
      <c r="M27" s="39"/>
      <c r="N27" s="39"/>
      <c r="O27" s="39"/>
      <c r="P27" s="39"/>
      <c r="Q27" s="39"/>
      <c r="R27" s="47"/>
      <c r="S27" s="39"/>
      <c r="T27" s="39"/>
      <c r="U27" s="868">
        <f>$U$19</f>
        <v>2400</v>
      </c>
      <c r="V27" s="869"/>
      <c r="W27" s="33" t="s">
        <v>575</v>
      </c>
      <c r="X27" s="33"/>
      <c r="Y27" s="55"/>
      <c r="Z27" s="88" t="s">
        <v>664</v>
      </c>
      <c r="AA27" s="33"/>
      <c r="AB27" s="33"/>
      <c r="AC27" s="33"/>
      <c r="AD27" s="33"/>
      <c r="AE27" s="33"/>
      <c r="AF27" s="33"/>
      <c r="AG27" s="33"/>
      <c r="AH27" s="33"/>
      <c r="AI27" s="34"/>
      <c r="AJ27" s="55"/>
    </row>
    <row r="28" spans="2:36" ht="17.100000000000001" customHeight="1">
      <c r="B28" s="41" t="s">
        <v>561</v>
      </c>
      <c r="C28" s="39"/>
      <c r="D28" s="39"/>
      <c r="E28" s="39"/>
      <c r="F28" s="39"/>
      <c r="G28" s="39"/>
      <c r="H28" s="39"/>
      <c r="I28" s="39"/>
      <c r="J28" s="39"/>
      <c r="K28" s="39"/>
      <c r="L28" s="39"/>
      <c r="M28" s="39"/>
      <c r="N28" s="39"/>
      <c r="O28" s="39"/>
      <c r="P28" s="39"/>
      <c r="Q28" s="39"/>
      <c r="R28" s="47"/>
      <c r="S28" s="39"/>
      <c r="T28" s="39"/>
      <c r="U28" s="868">
        <f>$U$27</f>
        <v>2400</v>
      </c>
      <c r="V28" s="869"/>
      <c r="W28" s="33" t="s">
        <v>575</v>
      </c>
      <c r="X28" s="33"/>
      <c r="Y28" s="55"/>
      <c r="Z28" s="88" t="s">
        <v>664</v>
      </c>
      <c r="AA28" s="33"/>
      <c r="AB28" s="33"/>
      <c r="AC28" s="33"/>
      <c r="AD28" s="33"/>
      <c r="AE28" s="33"/>
      <c r="AF28" s="33"/>
      <c r="AG28" s="33"/>
      <c r="AH28" s="33"/>
      <c r="AI28" s="34"/>
      <c r="AJ28" s="55"/>
    </row>
    <row r="29" spans="2:36" ht="17.100000000000001" customHeight="1">
      <c r="B29" s="41" t="s">
        <v>557</v>
      </c>
      <c r="C29" s="39"/>
      <c r="D29" s="39"/>
      <c r="E29" s="39"/>
      <c r="F29" s="39"/>
      <c r="G29" s="39"/>
      <c r="H29" s="39"/>
      <c r="I29" s="39"/>
      <c r="J29" s="39"/>
      <c r="K29" s="39"/>
      <c r="L29" s="39"/>
      <c r="M29" s="39"/>
      <c r="N29" s="39"/>
      <c r="O29" s="39"/>
      <c r="P29" s="39"/>
      <c r="Q29" s="39"/>
      <c r="R29" s="47"/>
      <c r="S29" s="39"/>
      <c r="T29" s="39"/>
      <c r="U29" s="868">
        <f>$U$30</f>
        <v>0</v>
      </c>
      <c r="V29" s="869"/>
      <c r="W29" s="33" t="s">
        <v>556</v>
      </c>
      <c r="X29" s="33"/>
      <c r="Y29" s="55"/>
      <c r="Z29" s="88" t="s">
        <v>662</v>
      </c>
      <c r="AA29" s="33"/>
      <c r="AB29" s="33"/>
      <c r="AC29" s="33"/>
      <c r="AD29" s="33"/>
      <c r="AE29" s="33"/>
      <c r="AF29" s="33"/>
      <c r="AG29" s="33"/>
      <c r="AH29" s="33"/>
      <c r="AI29" s="34"/>
      <c r="AJ29" s="55"/>
    </row>
    <row r="30" spans="2:36" ht="17.100000000000001" customHeight="1">
      <c r="B30" s="41" t="s">
        <v>660</v>
      </c>
      <c r="C30" s="39"/>
      <c r="D30" s="39"/>
      <c r="E30" s="39"/>
      <c r="F30" s="39"/>
      <c r="G30" s="39"/>
      <c r="H30" s="39"/>
      <c r="I30" s="39"/>
      <c r="J30" s="39"/>
      <c r="K30" s="39"/>
      <c r="L30" s="39"/>
      <c r="M30" s="39"/>
      <c r="N30" s="39"/>
      <c r="O30" s="39"/>
      <c r="P30" s="39"/>
      <c r="Q30" s="39"/>
      <c r="R30" s="47"/>
      <c r="S30" s="39"/>
      <c r="T30" s="39"/>
      <c r="U30" s="868">
        <f>$U$20*U21</f>
        <v>0</v>
      </c>
      <c r="V30" s="869"/>
      <c r="W30" s="33" t="s">
        <v>575</v>
      </c>
      <c r="X30" s="33"/>
      <c r="Y30" s="55"/>
      <c r="Z30" s="88" t="s">
        <v>662</v>
      </c>
      <c r="AA30" s="33"/>
      <c r="AB30" s="33"/>
      <c r="AC30" s="33"/>
      <c r="AD30" s="33"/>
      <c r="AE30" s="33"/>
      <c r="AF30" s="33"/>
      <c r="AG30" s="33"/>
      <c r="AH30" s="33"/>
      <c r="AI30" s="34"/>
      <c r="AJ30" s="55"/>
    </row>
    <row r="31" spans="2:36" ht="17.100000000000001" customHeight="1">
      <c r="B31" s="41" t="s">
        <v>659</v>
      </c>
      <c r="C31" s="39"/>
      <c r="D31" s="39"/>
      <c r="E31" s="39"/>
      <c r="F31" s="39"/>
      <c r="G31" s="39"/>
      <c r="H31" s="39"/>
      <c r="I31" s="39"/>
      <c r="J31" s="39"/>
      <c r="K31" s="39"/>
      <c r="L31" s="39"/>
      <c r="M31" s="39"/>
      <c r="N31" s="39"/>
      <c r="O31" s="39"/>
      <c r="P31" s="39"/>
      <c r="Q31" s="39"/>
      <c r="R31" s="47"/>
      <c r="S31" s="39"/>
      <c r="T31" s="39"/>
      <c r="U31" s="868">
        <f>$U$20*U22</f>
        <v>0</v>
      </c>
      <c r="V31" s="869"/>
      <c r="W31" s="33" t="s">
        <v>575</v>
      </c>
      <c r="X31" s="33"/>
      <c r="Y31" s="55"/>
      <c r="Z31" s="88" t="s">
        <v>663</v>
      </c>
      <c r="AA31" s="33"/>
      <c r="AB31" s="33"/>
      <c r="AC31" s="33"/>
      <c r="AD31" s="33"/>
      <c r="AE31" s="33"/>
      <c r="AF31" s="33"/>
      <c r="AG31" s="33"/>
      <c r="AH31" s="33"/>
      <c r="AI31" s="34"/>
      <c r="AJ31" s="55"/>
    </row>
    <row r="32" spans="2:36" ht="17.100000000000001" customHeight="1" thickBot="1">
      <c r="B32" s="47"/>
      <c r="C32" s="39"/>
      <c r="D32" s="39"/>
      <c r="E32" s="39"/>
      <c r="F32" s="39"/>
      <c r="G32" s="40"/>
      <c r="H32" s="40"/>
      <c r="I32" s="40"/>
      <c r="J32" s="40"/>
      <c r="K32" s="40"/>
      <c r="L32" s="40"/>
      <c r="M32" s="40"/>
      <c r="N32" s="40"/>
      <c r="O32" s="40"/>
      <c r="P32" s="40"/>
      <c r="Q32" s="40"/>
      <c r="R32" s="42"/>
      <c r="S32" s="40"/>
      <c r="T32" s="39"/>
      <c r="U32" s="37"/>
      <c r="V32" s="37"/>
      <c r="W32" s="33"/>
      <c r="X32" s="34"/>
      <c r="Y32" s="55"/>
      <c r="Z32" s="89"/>
      <c r="AA32" s="34"/>
      <c r="AB32" s="34"/>
      <c r="AC32" s="34"/>
      <c r="AD32" s="34"/>
      <c r="AE32" s="34"/>
      <c r="AF32" s="34"/>
      <c r="AG32" s="34"/>
      <c r="AH32" s="34"/>
      <c r="AI32" s="34"/>
      <c r="AJ32" s="55"/>
    </row>
    <row r="33" spans="2:36" ht="17.100000000000001" customHeight="1" thickTop="1" thickBot="1">
      <c r="B33" s="49" t="s">
        <v>297</v>
      </c>
      <c r="C33" s="119"/>
      <c r="D33" s="120"/>
      <c r="E33" s="120"/>
      <c r="F33" s="120"/>
      <c r="G33" s="44"/>
      <c r="H33" s="44"/>
      <c r="I33" s="44"/>
      <c r="J33" s="44"/>
      <c r="K33" s="44"/>
      <c r="L33" s="44"/>
      <c r="M33" s="44"/>
      <c r="N33" s="44"/>
      <c r="O33" s="44"/>
      <c r="P33" s="44"/>
      <c r="Q33" s="44"/>
      <c r="R33" s="43"/>
      <c r="S33" s="44"/>
      <c r="T33" s="120"/>
      <c r="U33" s="870">
        <v>10</v>
      </c>
      <c r="V33" s="871"/>
      <c r="W33" s="121" t="s">
        <v>589</v>
      </c>
      <c r="X33" s="62"/>
      <c r="Y33" s="63"/>
      <c r="Z33" s="96"/>
      <c r="AA33" s="62"/>
      <c r="AB33" s="62"/>
      <c r="AC33" s="62"/>
      <c r="AD33" s="62"/>
      <c r="AE33" s="62"/>
      <c r="AF33" s="62"/>
      <c r="AG33" s="62"/>
      <c r="AH33" s="62"/>
      <c r="AI33" s="62"/>
      <c r="AJ33" s="63"/>
    </row>
    <row r="34" spans="2:36" ht="14.25" thickTop="1">
      <c r="F34" s="23"/>
    </row>
    <row r="37" spans="2:36">
      <c r="C37"/>
      <c r="D37"/>
      <c r="E37"/>
      <c r="F37"/>
      <c r="G37"/>
      <c r="H37"/>
      <c r="I37"/>
      <c r="J37"/>
      <c r="K37"/>
      <c r="L37"/>
      <c r="M37"/>
      <c r="N37"/>
      <c r="O37"/>
      <c r="P37"/>
      <c r="Q37"/>
    </row>
    <row r="38" spans="2:36">
      <c r="C38"/>
      <c r="D38"/>
      <c r="E38"/>
      <c r="F38"/>
      <c r="G38"/>
      <c r="H38"/>
      <c r="I38"/>
      <c r="J38"/>
      <c r="K38"/>
      <c r="L38"/>
      <c r="M38"/>
      <c r="N38"/>
      <c r="O38"/>
      <c r="P38"/>
      <c r="Q38"/>
    </row>
    <row r="39" spans="2:36">
      <c r="C39"/>
      <c r="D39"/>
      <c r="E39"/>
      <c r="F39"/>
      <c r="G39"/>
      <c r="H39"/>
      <c r="I39"/>
      <c r="J39"/>
      <c r="K39"/>
      <c r="L39"/>
      <c r="M39"/>
      <c r="N39"/>
      <c r="O39"/>
      <c r="P39"/>
      <c r="Q39"/>
    </row>
    <row r="40" spans="2:36">
      <c r="C40"/>
      <c r="D40"/>
      <c r="E40"/>
      <c r="F40"/>
      <c r="G40"/>
      <c r="H40"/>
      <c r="I40"/>
      <c r="J40"/>
      <c r="K40"/>
      <c r="L40"/>
      <c r="M40"/>
      <c r="N40"/>
      <c r="O40"/>
      <c r="P40"/>
      <c r="Q40"/>
    </row>
    <row r="41" spans="2:36">
      <c r="C41"/>
      <c r="D41"/>
      <c r="E41"/>
      <c r="F41"/>
      <c r="G41"/>
      <c r="H41"/>
      <c r="I41"/>
      <c r="J41"/>
      <c r="K41"/>
      <c r="L41"/>
      <c r="M41"/>
      <c r="N41"/>
      <c r="O41"/>
      <c r="P41"/>
      <c r="Q41"/>
    </row>
    <row r="42" spans="2:36">
      <c r="C42"/>
      <c r="D42"/>
      <c r="E42"/>
      <c r="F42"/>
      <c r="G42"/>
      <c r="H42"/>
      <c r="I42"/>
      <c r="J42"/>
      <c r="K42"/>
      <c r="L42"/>
      <c r="M42"/>
      <c r="N42"/>
      <c r="O42"/>
      <c r="P42"/>
      <c r="Q42"/>
    </row>
    <row r="43" spans="2:36">
      <c r="C43"/>
      <c r="D43"/>
      <c r="E43"/>
      <c r="F43"/>
      <c r="G43"/>
      <c r="H43"/>
      <c r="I43"/>
      <c r="J43"/>
      <c r="K43"/>
      <c r="L43"/>
      <c r="M43"/>
      <c r="N43"/>
      <c r="O43"/>
      <c r="P43"/>
      <c r="Q43"/>
    </row>
    <row r="44" spans="2:36">
      <c r="C44"/>
      <c r="D44"/>
      <c r="E44"/>
      <c r="F44"/>
      <c r="G44"/>
      <c r="H44"/>
      <c r="I44"/>
      <c r="J44"/>
      <c r="K44"/>
      <c r="L44"/>
      <c r="M44"/>
      <c r="N44"/>
      <c r="O44"/>
      <c r="P44"/>
      <c r="Q44"/>
    </row>
    <row r="45" spans="2:36">
      <c r="C45"/>
      <c r="D45"/>
      <c r="E45"/>
      <c r="F45"/>
      <c r="G45"/>
      <c r="H45"/>
      <c r="I45"/>
      <c r="J45"/>
      <c r="K45"/>
      <c r="L45"/>
      <c r="M45"/>
      <c r="N45"/>
      <c r="O45"/>
      <c r="P45"/>
      <c r="Q45"/>
    </row>
    <row r="46" spans="2:36">
      <c r="C46"/>
      <c r="D46"/>
      <c r="E46"/>
      <c r="F46"/>
      <c r="G46"/>
      <c r="H46"/>
      <c r="I46"/>
      <c r="J46"/>
      <c r="K46"/>
      <c r="L46"/>
      <c r="M46"/>
      <c r="N46"/>
      <c r="O46"/>
      <c r="P46"/>
      <c r="Q46"/>
    </row>
    <row r="47" spans="2:36">
      <c r="C47"/>
      <c r="D47"/>
      <c r="E47"/>
      <c r="F47"/>
      <c r="G47"/>
      <c r="H47"/>
      <c r="I47"/>
      <c r="J47"/>
      <c r="K47"/>
      <c r="L47"/>
      <c r="M47"/>
      <c r="N47"/>
      <c r="O47"/>
      <c r="P47"/>
      <c r="Q47"/>
    </row>
    <row r="48" spans="2:36">
      <c r="C48"/>
      <c r="D48"/>
      <c r="E48"/>
      <c r="F48"/>
      <c r="G48"/>
      <c r="H48"/>
      <c r="I48"/>
      <c r="J48"/>
      <c r="K48"/>
      <c r="L48"/>
      <c r="M48"/>
      <c r="N48"/>
      <c r="O48"/>
      <c r="P48"/>
      <c r="Q48"/>
    </row>
  </sheetData>
  <sheetProtection password="CF68" sheet="1" objects="1" scenarios="1"/>
  <mergeCells count="20">
    <mergeCell ref="Y2:Z2"/>
    <mergeCell ref="Y3:Z3"/>
    <mergeCell ref="Z21:AJ22"/>
    <mergeCell ref="B5:AJ5"/>
    <mergeCell ref="Y12:Z12"/>
    <mergeCell ref="B14:AJ14"/>
    <mergeCell ref="U21:V21"/>
    <mergeCell ref="U22:V22"/>
    <mergeCell ref="U19:V19"/>
    <mergeCell ref="U20:V20"/>
    <mergeCell ref="W2:X2"/>
    <mergeCell ref="U30:V30"/>
    <mergeCell ref="U29:V29"/>
    <mergeCell ref="U33:V33"/>
    <mergeCell ref="U23:V23"/>
    <mergeCell ref="U31:V31"/>
    <mergeCell ref="U28:V28"/>
    <mergeCell ref="U27:V27"/>
    <mergeCell ref="U26:V26"/>
    <mergeCell ref="U25:V25"/>
  </mergeCells>
  <phoneticPr fontId="2"/>
  <pageMargins left="0.39370078740157483" right="0.78740157480314965" top="0.51181102362204722" bottom="0.51181102362204722" header="0.51181102362204722" footer="0.51181102362204722"/>
  <pageSetup paperSize="9" scale="7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enableFormatConditionsCalculation="0">
    <tabColor indexed="51"/>
    <pageSetUpPr fitToPage="1"/>
  </sheetPr>
  <dimension ref="A1:AJ51"/>
  <sheetViews>
    <sheetView showGridLines="0" zoomScaleNormal="100" workbookViewId="0">
      <selection activeCell="AD19" sqref="AD19"/>
    </sheetView>
  </sheetViews>
  <sheetFormatPr defaultRowHeight="13.5"/>
  <cols>
    <col min="1" max="2" width="3.625" style="162" customWidth="1"/>
    <col min="3" max="3" width="3.625" style="161" customWidth="1"/>
    <col min="4" max="20" width="3.625" style="162" customWidth="1"/>
    <col min="21" max="21" width="3.75" style="161" customWidth="1"/>
    <col min="22" max="23" width="3.625" style="163" customWidth="1"/>
    <col min="24" max="25" width="3.625" style="161" customWidth="1"/>
    <col min="26" max="26" width="3.375" style="161" customWidth="1"/>
    <col min="27" max="28" width="3.625" style="163" customWidth="1"/>
    <col min="29" max="33" width="3.625" style="161" customWidth="1"/>
    <col min="34" max="44" width="3.625" style="162" customWidth="1"/>
    <col min="45" max="16384" width="9" style="162"/>
  </cols>
  <sheetData>
    <row r="1" spans="1:36" ht="21.75" thickBot="1">
      <c r="A1" s="159"/>
      <c r="B1" s="160" t="s">
        <v>665</v>
      </c>
    </row>
    <row r="2" spans="1:36" s="166" customFormat="1" ht="17.100000000000001" customHeight="1" thickTop="1" thickBot="1">
      <c r="A2" s="164"/>
      <c r="B2" s="22" t="s">
        <v>584</v>
      </c>
      <c r="C2" s="165"/>
      <c r="U2" s="167"/>
      <c r="V2" s="168"/>
      <c r="W2" s="819"/>
      <c r="X2" s="820"/>
      <c r="Y2" s="821"/>
      <c r="Z2" s="822"/>
      <c r="AA2" s="22" t="s">
        <v>377</v>
      </c>
      <c r="AB2" s="168"/>
      <c r="AC2" s="167"/>
      <c r="AD2" s="167"/>
      <c r="AE2" s="167"/>
      <c r="AF2" s="167"/>
      <c r="AG2" s="167"/>
    </row>
    <row r="3" spans="1:36" s="166" customFormat="1" ht="17.100000000000001" customHeight="1" thickTop="1">
      <c r="A3" s="164"/>
      <c r="B3" s="22" t="s">
        <v>834</v>
      </c>
      <c r="C3" s="165"/>
      <c r="U3" s="167"/>
      <c r="V3" s="168"/>
      <c r="W3" s="21"/>
      <c r="X3" s="21"/>
      <c r="Y3" s="823"/>
      <c r="Z3" s="824"/>
      <c r="AA3" s="22" t="s">
        <v>666</v>
      </c>
      <c r="AB3" s="168"/>
      <c r="AC3" s="167"/>
      <c r="AD3" s="167"/>
      <c r="AE3" s="167"/>
      <c r="AF3" s="167"/>
      <c r="AG3" s="167"/>
    </row>
    <row r="5" spans="1:36" ht="17.25">
      <c r="B5" s="827" t="s">
        <v>667</v>
      </c>
      <c r="C5" s="828"/>
      <c r="D5" s="828"/>
      <c r="E5" s="828"/>
      <c r="F5" s="828"/>
      <c r="G5" s="828"/>
      <c r="H5" s="828"/>
      <c r="I5" s="828"/>
      <c r="J5" s="828"/>
      <c r="K5" s="828"/>
      <c r="L5" s="828"/>
      <c r="M5" s="828"/>
      <c r="N5" s="828"/>
      <c r="O5" s="828"/>
      <c r="P5" s="828"/>
      <c r="Q5" s="828"/>
      <c r="R5" s="828"/>
      <c r="S5" s="828"/>
      <c r="T5" s="828"/>
      <c r="U5" s="828"/>
      <c r="V5" s="828"/>
      <c r="W5" s="828"/>
      <c r="X5" s="828"/>
      <c r="Y5" s="828"/>
      <c r="Z5" s="828"/>
      <c r="AA5" s="828"/>
      <c r="AB5" s="828"/>
      <c r="AC5" s="828"/>
      <c r="AD5" s="828"/>
      <c r="AE5" s="828"/>
      <c r="AF5" s="828"/>
      <c r="AG5" s="828"/>
      <c r="AH5" s="828"/>
      <c r="AI5" s="828"/>
      <c r="AJ5" s="829"/>
    </row>
    <row r="6" spans="1:36" customFormat="1" ht="8.1" customHeight="1"/>
    <row r="7" spans="1:36" ht="17.100000000000001" customHeight="1" thickBot="1">
      <c r="B7" s="27" t="s">
        <v>215</v>
      </c>
      <c r="C7" s="29"/>
      <c r="D7" s="28"/>
      <c r="E7" s="28"/>
      <c r="F7" s="28"/>
      <c r="G7" s="28"/>
      <c r="H7" s="28"/>
      <c r="I7" s="28"/>
      <c r="J7" s="28"/>
      <c r="K7" s="28"/>
      <c r="L7" s="28"/>
      <c r="M7" s="28"/>
      <c r="N7" s="28"/>
      <c r="O7" s="28"/>
      <c r="P7" s="28"/>
      <c r="Q7" s="28"/>
      <c r="R7" s="28"/>
      <c r="S7" s="28"/>
      <c r="T7" s="28"/>
      <c r="U7" s="169"/>
      <c r="V7" s="170"/>
      <c r="W7" s="170"/>
      <c r="X7" s="169"/>
    </row>
    <row r="8" spans="1:36" s="21" customFormat="1" ht="8.1" customHeight="1" thickBot="1">
      <c r="C8" s="22"/>
      <c r="D8" s="22"/>
      <c r="E8" s="22"/>
      <c r="F8" s="22"/>
      <c r="G8" s="22"/>
      <c r="H8" s="22"/>
      <c r="I8" s="22"/>
      <c r="J8" s="22"/>
      <c r="K8" s="22"/>
      <c r="L8" s="22"/>
      <c r="M8" s="22"/>
      <c r="R8" s="77"/>
      <c r="S8" s="77"/>
      <c r="T8" s="77"/>
      <c r="U8" s="1"/>
      <c r="V8" s="37"/>
      <c r="X8" s="22"/>
      <c r="Y8" s="22"/>
      <c r="Z8" s="22"/>
      <c r="AC8" s="22"/>
      <c r="AD8" s="22"/>
      <c r="AE8" s="22"/>
      <c r="AF8" s="22"/>
      <c r="AG8" s="22"/>
    </row>
    <row r="9" spans="1:36" ht="17.100000000000001" customHeight="1" thickTop="1" thickBot="1">
      <c r="B9" s="171"/>
      <c r="C9" s="172" t="s">
        <v>668</v>
      </c>
      <c r="D9" s="173"/>
      <c r="E9" s="173"/>
      <c r="F9" s="173"/>
      <c r="G9" s="173"/>
      <c r="H9" s="173"/>
      <c r="I9" s="173"/>
      <c r="J9" s="173"/>
      <c r="K9" s="173"/>
      <c r="L9" s="173"/>
      <c r="M9" s="173"/>
      <c r="N9" s="173"/>
      <c r="O9" s="173"/>
      <c r="P9" s="173"/>
      <c r="Q9" s="173"/>
      <c r="R9" s="173"/>
      <c r="S9" s="173"/>
      <c r="T9" s="173"/>
      <c r="U9" s="172"/>
      <c r="V9" s="174"/>
      <c r="W9" s="174"/>
      <c r="X9" s="175" t="s">
        <v>669</v>
      </c>
      <c r="Y9" s="888">
        <f>現業務調査!S14</f>
        <v>0</v>
      </c>
      <c r="Z9" s="888"/>
      <c r="AA9" s="176" t="s">
        <v>211</v>
      </c>
      <c r="AD9" s="884">
        <v>0</v>
      </c>
      <c r="AE9" s="885"/>
      <c r="AF9" s="161" t="s">
        <v>670</v>
      </c>
      <c r="AG9" s="177"/>
    </row>
    <row r="10" spans="1:36" ht="17.100000000000001" customHeight="1" thickTop="1" thickBot="1">
      <c r="B10" s="27" t="s">
        <v>658</v>
      </c>
      <c r="C10" s="29"/>
      <c r="D10" s="28"/>
      <c r="E10" s="28"/>
      <c r="F10" s="28"/>
      <c r="G10" s="28"/>
      <c r="H10" s="28"/>
      <c r="I10" s="28"/>
      <c r="J10" s="28"/>
      <c r="K10" s="28"/>
      <c r="L10" s="28"/>
      <c r="M10" s="28"/>
      <c r="N10" s="28"/>
      <c r="O10" s="28"/>
      <c r="P10" s="28"/>
      <c r="Q10" s="28"/>
      <c r="R10" s="28"/>
      <c r="S10" s="28"/>
      <c r="T10" s="28"/>
      <c r="X10" s="169"/>
      <c r="Y10" s="581"/>
      <c r="Z10" s="581"/>
      <c r="AA10" s="176"/>
      <c r="AD10" s="179"/>
      <c r="AE10" s="179"/>
    </row>
    <row r="11" spans="1:36" s="21" customFormat="1" ht="8.1" customHeight="1" thickBot="1">
      <c r="C11" s="22"/>
      <c r="D11" s="22"/>
      <c r="E11" s="22"/>
      <c r="F11" s="22"/>
      <c r="G11" s="22"/>
      <c r="H11" s="22"/>
      <c r="I11" s="22"/>
      <c r="J11" s="22"/>
      <c r="K11" s="22"/>
      <c r="L11" s="22"/>
      <c r="M11" s="22"/>
      <c r="R11" s="77"/>
      <c r="S11" s="77"/>
      <c r="T11" s="77"/>
      <c r="X11" s="1"/>
      <c r="Y11" s="37"/>
      <c r="AA11" s="22"/>
      <c r="AD11" s="180"/>
      <c r="AE11" s="180"/>
      <c r="AF11" s="22"/>
      <c r="AG11" s="22"/>
    </row>
    <row r="12" spans="1:36" ht="17.100000000000001" customHeight="1" thickTop="1" thickBot="1">
      <c r="B12" s="171"/>
      <c r="C12" s="172" t="s">
        <v>671</v>
      </c>
      <c r="D12" s="173"/>
      <c r="E12" s="173"/>
      <c r="F12" s="173"/>
      <c r="G12" s="173"/>
      <c r="H12" s="173"/>
      <c r="I12" s="173"/>
      <c r="J12" s="173"/>
      <c r="K12" s="173"/>
      <c r="L12" s="173"/>
      <c r="M12" s="173"/>
      <c r="N12" s="173"/>
      <c r="O12" s="173"/>
      <c r="P12" s="173"/>
      <c r="Q12" s="173"/>
      <c r="R12" s="173"/>
      <c r="S12" s="173"/>
      <c r="T12" s="173"/>
      <c r="U12" s="172"/>
      <c r="V12" s="174"/>
      <c r="W12" s="174"/>
      <c r="X12" s="175" t="s">
        <v>669</v>
      </c>
      <c r="Y12" s="888">
        <f>現業務調査!Y45</f>
        <v>0</v>
      </c>
      <c r="Z12" s="888"/>
      <c r="AA12" s="176" t="s">
        <v>218</v>
      </c>
      <c r="AD12" s="884">
        <v>0</v>
      </c>
      <c r="AE12" s="885"/>
      <c r="AF12" s="161" t="s">
        <v>672</v>
      </c>
      <c r="AG12" s="177"/>
    </row>
    <row r="13" spans="1:36" ht="17.100000000000001" customHeight="1" thickTop="1">
      <c r="B13" s="171"/>
      <c r="C13" s="169"/>
      <c r="D13" s="171"/>
      <c r="E13" s="171"/>
      <c r="F13" s="171"/>
      <c r="G13" s="171"/>
      <c r="H13" s="171"/>
      <c r="I13" s="171"/>
      <c r="J13" s="171"/>
      <c r="K13" s="171"/>
      <c r="L13" s="171"/>
      <c r="M13" s="171"/>
      <c r="N13" s="171"/>
      <c r="O13" s="171"/>
      <c r="P13" s="171"/>
      <c r="Q13" s="171"/>
      <c r="R13" s="171"/>
      <c r="S13" s="171"/>
      <c r="T13" s="171"/>
      <c r="U13" s="169"/>
      <c r="V13" s="178"/>
      <c r="W13" s="178"/>
      <c r="X13" s="176"/>
      <c r="Y13" s="181"/>
      <c r="Z13" s="181"/>
      <c r="AA13" s="182"/>
      <c r="AB13" s="182"/>
    </row>
    <row r="14" spans="1:36" ht="17.25">
      <c r="B14" s="827" t="s">
        <v>225</v>
      </c>
      <c r="C14" s="828"/>
      <c r="D14" s="828"/>
      <c r="E14" s="828"/>
      <c r="F14" s="828"/>
      <c r="G14" s="828"/>
      <c r="H14" s="828"/>
      <c r="I14" s="828"/>
      <c r="J14" s="828"/>
      <c r="K14" s="828"/>
      <c r="L14" s="828"/>
      <c r="M14" s="828"/>
      <c r="N14" s="828"/>
      <c r="O14" s="828"/>
      <c r="P14" s="828"/>
      <c r="Q14" s="828"/>
      <c r="R14" s="828"/>
      <c r="S14" s="828"/>
      <c r="T14" s="828"/>
      <c r="U14" s="828"/>
      <c r="V14" s="828"/>
      <c r="W14" s="828"/>
      <c r="X14" s="828"/>
      <c r="Y14" s="828"/>
      <c r="Z14" s="828"/>
      <c r="AA14" s="828"/>
      <c r="AB14" s="828"/>
      <c r="AC14" s="828"/>
      <c r="AD14" s="828"/>
      <c r="AE14" s="828"/>
      <c r="AF14" s="828"/>
      <c r="AG14" s="828"/>
      <c r="AH14" s="828"/>
      <c r="AI14" s="828"/>
      <c r="AJ14" s="829"/>
    </row>
    <row r="15" spans="1:36" customFormat="1" ht="8.1" customHeight="1"/>
    <row r="16" spans="1:36" ht="17.100000000000001" customHeight="1" thickBot="1">
      <c r="B16" s="27" t="s">
        <v>296</v>
      </c>
      <c r="C16" s="29"/>
      <c r="D16" s="28"/>
      <c r="E16" s="28"/>
      <c r="F16" s="28"/>
      <c r="G16" s="28"/>
      <c r="H16" s="28"/>
      <c r="I16" s="28"/>
      <c r="J16" s="28"/>
      <c r="K16" s="28"/>
      <c r="L16" s="28"/>
      <c r="M16" s="28"/>
      <c r="N16" s="28"/>
      <c r="O16" s="28"/>
      <c r="P16" s="28"/>
      <c r="Q16" s="28"/>
      <c r="R16" s="28"/>
      <c r="S16" s="28"/>
      <c r="T16" s="28"/>
      <c r="X16" s="169"/>
      <c r="Y16" s="178"/>
      <c r="Z16" s="178"/>
      <c r="AA16" s="176"/>
      <c r="AD16" s="182"/>
      <c r="AE16" s="182"/>
    </row>
    <row r="17" spans="2:36" s="21" customFormat="1" ht="8.1" customHeight="1" thickBot="1">
      <c r="C17" s="22"/>
      <c r="D17" s="22"/>
      <c r="E17" s="22"/>
      <c r="F17" s="22"/>
      <c r="G17" s="22"/>
      <c r="H17" s="22"/>
      <c r="I17" s="22"/>
      <c r="J17" s="22"/>
      <c r="K17" s="22"/>
      <c r="L17" s="22"/>
      <c r="M17" s="22"/>
      <c r="R17" s="77"/>
      <c r="S17" s="77"/>
      <c r="T17" s="77"/>
      <c r="X17" s="1"/>
      <c r="Y17" s="37"/>
      <c r="AA17" s="22"/>
      <c r="AF17" s="22"/>
      <c r="AG17" s="22"/>
    </row>
    <row r="18" spans="2:36" ht="17.100000000000001" customHeight="1" thickTop="1" thickBot="1">
      <c r="B18" s="171"/>
      <c r="C18" s="172" t="s">
        <v>673</v>
      </c>
      <c r="D18" s="173"/>
      <c r="E18" s="173"/>
      <c r="F18" s="173"/>
      <c r="G18" s="173"/>
      <c r="H18" s="173"/>
      <c r="I18" s="173"/>
      <c r="J18" s="173"/>
      <c r="K18" s="173"/>
      <c r="L18" s="173"/>
      <c r="M18" s="173"/>
      <c r="N18" s="173"/>
      <c r="O18" s="173"/>
      <c r="P18" s="173"/>
      <c r="Q18" s="173"/>
      <c r="R18" s="173"/>
      <c r="S18" s="173"/>
      <c r="T18" s="173"/>
      <c r="U18" s="172"/>
      <c r="V18" s="174"/>
      <c r="W18" s="174"/>
      <c r="X18" s="175" t="s">
        <v>669</v>
      </c>
      <c r="Y18" s="888">
        <f>現業務調査!S84</f>
        <v>30</v>
      </c>
      <c r="Z18" s="888"/>
      <c r="AA18" s="176" t="s">
        <v>674</v>
      </c>
      <c r="AD18" s="892">
        <v>15</v>
      </c>
      <c r="AE18" s="893"/>
      <c r="AF18" s="161" t="s">
        <v>675</v>
      </c>
      <c r="AG18" s="177"/>
    </row>
    <row r="19" spans="2:36" ht="17.100000000000001" customHeight="1" thickTop="1" thickBot="1">
      <c r="B19" s="27" t="s">
        <v>234</v>
      </c>
      <c r="C19" s="29"/>
      <c r="D19" s="28"/>
      <c r="E19" s="28"/>
      <c r="F19" s="28"/>
      <c r="G19" s="28"/>
      <c r="H19" s="28"/>
      <c r="I19" s="28"/>
      <c r="J19" s="28"/>
      <c r="K19" s="28"/>
      <c r="L19" s="28"/>
      <c r="M19" s="28"/>
      <c r="N19" s="28"/>
      <c r="O19" s="28"/>
      <c r="P19" s="28"/>
      <c r="Q19" s="28"/>
      <c r="R19" s="28"/>
      <c r="S19" s="28"/>
      <c r="T19" s="28"/>
      <c r="X19" s="169"/>
      <c r="Y19" s="581"/>
      <c r="Z19" s="581"/>
      <c r="AA19" s="176"/>
      <c r="AD19" s="179"/>
      <c r="AE19" s="179"/>
    </row>
    <row r="20" spans="2:36" s="21" customFormat="1" ht="8.1" customHeight="1" thickBot="1">
      <c r="C20" s="22"/>
      <c r="D20" s="22"/>
      <c r="E20" s="22"/>
      <c r="F20" s="22"/>
      <c r="G20" s="22"/>
      <c r="H20" s="22"/>
      <c r="I20" s="22"/>
      <c r="J20" s="22"/>
      <c r="K20" s="22"/>
      <c r="L20" s="22"/>
      <c r="M20" s="22"/>
      <c r="R20" s="77"/>
      <c r="S20" s="77"/>
      <c r="T20" s="77"/>
      <c r="X20" s="1"/>
      <c r="Y20" s="37"/>
      <c r="AA20" s="22"/>
      <c r="AD20" s="180"/>
      <c r="AE20" s="180"/>
      <c r="AF20" s="22"/>
      <c r="AG20" s="22"/>
    </row>
    <row r="21" spans="2:36" ht="17.100000000000001" customHeight="1" thickTop="1" thickBot="1">
      <c r="B21" s="171"/>
      <c r="C21" s="172" t="s">
        <v>678</v>
      </c>
      <c r="D21" s="173"/>
      <c r="E21" s="173"/>
      <c r="F21" s="173"/>
      <c r="G21" s="173"/>
      <c r="H21" s="173"/>
      <c r="I21" s="173"/>
      <c r="J21" s="173"/>
      <c r="K21" s="173"/>
      <c r="L21" s="173"/>
      <c r="M21" s="173"/>
      <c r="N21" s="173"/>
      <c r="O21" s="173"/>
      <c r="P21" s="173"/>
      <c r="Q21" s="173"/>
      <c r="R21" s="173"/>
      <c r="S21" s="173"/>
      <c r="T21" s="173"/>
      <c r="U21" s="172"/>
      <c r="V21" s="174"/>
      <c r="W21" s="174"/>
      <c r="X21" s="175" t="s">
        <v>669</v>
      </c>
      <c r="Y21" s="888">
        <f>現業務調査!S121</f>
        <v>3</v>
      </c>
      <c r="Z21" s="888"/>
      <c r="AA21" s="176" t="s">
        <v>674</v>
      </c>
      <c r="AD21" s="886">
        <v>3</v>
      </c>
      <c r="AE21" s="887"/>
      <c r="AF21" s="161" t="s">
        <v>675</v>
      </c>
      <c r="AG21" s="177"/>
    </row>
    <row r="22" spans="2:36" ht="17.100000000000001" customHeight="1" thickTop="1"/>
    <row r="23" spans="2:36" ht="17.25">
      <c r="B23" s="827" t="s">
        <v>557</v>
      </c>
      <c r="C23" s="828"/>
      <c r="D23" s="828"/>
      <c r="E23" s="828"/>
      <c r="F23" s="828"/>
      <c r="G23" s="828"/>
      <c r="H23" s="828"/>
      <c r="I23" s="828"/>
      <c r="J23" s="828"/>
      <c r="K23" s="828"/>
      <c r="L23" s="828"/>
      <c r="M23" s="828"/>
      <c r="N23" s="828"/>
      <c r="O23" s="828"/>
      <c r="P23" s="828"/>
      <c r="Q23" s="828"/>
      <c r="R23" s="828"/>
      <c r="S23" s="828"/>
      <c r="T23" s="828"/>
      <c r="U23" s="828"/>
      <c r="V23" s="828"/>
      <c r="W23" s="828"/>
      <c r="X23" s="828"/>
      <c r="Y23" s="828"/>
      <c r="Z23" s="828"/>
      <c r="AA23" s="828"/>
      <c r="AB23" s="828"/>
      <c r="AC23" s="828"/>
      <c r="AD23" s="828"/>
      <c r="AE23" s="828"/>
      <c r="AF23" s="828"/>
      <c r="AG23" s="828"/>
      <c r="AH23" s="828"/>
      <c r="AI23" s="828"/>
      <c r="AJ23" s="829"/>
    </row>
    <row r="24" spans="2:36" customFormat="1" ht="8.1" customHeight="1"/>
    <row r="25" spans="2:36" ht="17.100000000000001" customHeight="1" thickBot="1">
      <c r="B25" s="27" t="s">
        <v>649</v>
      </c>
      <c r="C25" s="29"/>
      <c r="D25" s="28"/>
      <c r="E25" s="28"/>
      <c r="F25" s="28"/>
      <c r="G25" s="28"/>
      <c r="H25" s="28"/>
      <c r="I25" s="28"/>
      <c r="J25" s="28"/>
      <c r="K25" s="28"/>
      <c r="L25" s="28"/>
      <c r="M25" s="28"/>
      <c r="N25" s="28"/>
      <c r="O25" s="28"/>
      <c r="P25" s="28"/>
      <c r="Q25" s="28"/>
      <c r="R25" s="28"/>
      <c r="S25" s="28"/>
      <c r="T25" s="28"/>
    </row>
    <row r="26" spans="2:36" s="21" customFormat="1" ht="8.1" customHeight="1">
      <c r="C26" s="22"/>
      <c r="D26" s="22"/>
      <c r="E26" s="22"/>
      <c r="F26" s="22"/>
      <c r="G26" s="22"/>
      <c r="H26" s="22"/>
      <c r="I26" s="22"/>
      <c r="J26" s="22"/>
      <c r="K26" s="22"/>
      <c r="L26" s="22"/>
      <c r="M26" s="22"/>
      <c r="R26" s="77"/>
      <c r="S26" s="77"/>
      <c r="T26" s="77"/>
      <c r="U26" s="1"/>
      <c r="V26" s="37"/>
      <c r="X26" s="22"/>
      <c r="Y26" s="22"/>
      <c r="Z26" s="22"/>
      <c r="AC26" s="22"/>
      <c r="AD26" s="22"/>
      <c r="AE26" s="22"/>
      <c r="AF26" s="22"/>
      <c r="AG26" s="22"/>
    </row>
    <row r="27" spans="2:36" ht="17.100000000000001" customHeight="1" thickBot="1">
      <c r="C27" s="172" t="s">
        <v>679</v>
      </c>
      <c r="D27" s="173"/>
      <c r="E27" s="173"/>
      <c r="F27" s="173"/>
      <c r="G27" s="173"/>
      <c r="H27" s="173"/>
      <c r="I27" s="173"/>
      <c r="J27" s="173"/>
      <c r="K27" s="173"/>
      <c r="L27" s="173"/>
      <c r="M27" s="173"/>
      <c r="N27" s="173"/>
      <c r="O27" s="173"/>
      <c r="P27" s="173"/>
      <c r="Q27" s="173"/>
      <c r="R27" s="173"/>
      <c r="S27" s="173"/>
      <c r="T27" s="173"/>
      <c r="U27" s="173"/>
      <c r="V27" s="173"/>
      <c r="W27" s="173"/>
      <c r="X27"/>
      <c r="Y27"/>
      <c r="Z27"/>
      <c r="AA27"/>
      <c r="AB27"/>
      <c r="AC27"/>
      <c r="AD27"/>
      <c r="AE27"/>
      <c r="AF27"/>
      <c r="AG27"/>
    </row>
    <row r="28" spans="2:36" ht="17.100000000000001" customHeight="1" thickTop="1" thickBot="1">
      <c r="C28" s="172"/>
      <c r="D28" s="172" t="s">
        <v>680</v>
      </c>
      <c r="E28" s="173"/>
      <c r="F28" s="173"/>
      <c r="G28" s="173"/>
      <c r="H28" s="173"/>
      <c r="I28" s="173"/>
      <c r="J28" s="173"/>
      <c r="K28" s="173"/>
      <c r="L28" s="173"/>
      <c r="M28" s="173"/>
      <c r="N28" s="173"/>
      <c r="O28" s="173"/>
      <c r="P28" s="173"/>
      <c r="Q28" s="173"/>
      <c r="R28" s="173"/>
      <c r="S28" s="173"/>
      <c r="T28" s="173"/>
      <c r="U28" s="173"/>
      <c r="V28" s="173"/>
      <c r="W28" s="173"/>
      <c r="X28" s="183" t="s">
        <v>669</v>
      </c>
      <c r="Y28" s="891">
        <f>現業務調査!T139</f>
        <v>0</v>
      </c>
      <c r="Z28" s="891"/>
      <c r="AA28" s="176" t="s">
        <v>523</v>
      </c>
      <c r="AB28" s="162"/>
      <c r="AC28" s="162"/>
      <c r="AD28" s="884">
        <v>0</v>
      </c>
      <c r="AE28" s="885"/>
      <c r="AF28" s="161" t="s">
        <v>681</v>
      </c>
      <c r="AG28" s="177"/>
    </row>
    <row r="29" spans="2:36" ht="17.100000000000001" customHeight="1" thickTop="1" thickBot="1">
      <c r="B29" s="184"/>
      <c r="C29" s="172"/>
      <c r="D29" s="172" t="s">
        <v>682</v>
      </c>
      <c r="E29" s="173"/>
      <c r="F29" s="173"/>
      <c r="G29" s="173"/>
      <c r="H29" s="173"/>
      <c r="I29" s="173"/>
      <c r="J29" s="172"/>
      <c r="K29" s="172"/>
      <c r="L29" s="173"/>
      <c r="M29" s="173"/>
      <c r="N29" s="173"/>
      <c r="O29" s="173"/>
      <c r="P29" s="173"/>
      <c r="Q29" s="173"/>
      <c r="R29" s="173"/>
      <c r="S29" s="173"/>
      <c r="T29" s="173"/>
      <c r="U29" s="173"/>
      <c r="V29" s="173"/>
      <c r="W29" s="173"/>
      <c r="X29" s="185" t="s">
        <v>669</v>
      </c>
      <c r="Y29" s="889">
        <v>0</v>
      </c>
      <c r="Z29" s="890"/>
      <c r="AA29" s="176" t="s">
        <v>523</v>
      </c>
      <c r="AB29" s="162"/>
      <c r="AC29" s="162"/>
      <c r="AD29" s="884">
        <v>0</v>
      </c>
      <c r="AE29" s="885"/>
      <c r="AF29" s="161" t="s">
        <v>681</v>
      </c>
      <c r="AG29" s="177"/>
    </row>
    <row r="30" spans="2:36" customFormat="1" ht="17.100000000000001" customHeight="1" thickTop="1"/>
    <row r="31" spans="2:36" ht="17.25">
      <c r="B31" s="827" t="s">
        <v>478</v>
      </c>
      <c r="C31" s="828"/>
      <c r="D31" s="828"/>
      <c r="E31" s="828"/>
      <c r="F31" s="828"/>
      <c r="G31" s="828"/>
      <c r="H31" s="828"/>
      <c r="I31" s="828"/>
      <c r="J31" s="828"/>
      <c r="K31" s="828"/>
      <c r="L31" s="828"/>
      <c r="M31" s="828"/>
      <c r="N31" s="828"/>
      <c r="O31" s="828"/>
      <c r="P31" s="828"/>
      <c r="Q31" s="828"/>
      <c r="R31" s="828"/>
      <c r="S31" s="828"/>
      <c r="T31" s="828"/>
      <c r="U31" s="828"/>
      <c r="V31" s="828"/>
      <c r="W31" s="828"/>
      <c r="X31" s="828"/>
      <c r="Y31" s="828"/>
      <c r="Z31" s="828"/>
      <c r="AA31" s="828"/>
      <c r="AB31" s="828"/>
      <c r="AC31" s="828"/>
      <c r="AD31" s="828"/>
      <c r="AE31" s="828"/>
      <c r="AF31" s="828"/>
      <c r="AG31" s="828"/>
      <c r="AH31" s="828"/>
      <c r="AI31" s="828"/>
      <c r="AJ31" s="829"/>
    </row>
    <row r="32" spans="2:36" customFormat="1" ht="8.1" customHeight="1"/>
    <row r="33" spans="2:33" ht="17.100000000000001" customHeight="1" thickBot="1">
      <c r="B33" s="27" t="s">
        <v>479</v>
      </c>
      <c r="C33" s="29"/>
      <c r="D33" s="28"/>
      <c r="E33" s="28"/>
      <c r="F33" s="28"/>
      <c r="G33" s="28"/>
      <c r="H33" s="28"/>
      <c r="I33" s="28"/>
      <c r="J33" s="28"/>
      <c r="K33" s="28"/>
      <c r="L33" s="28"/>
      <c r="M33" s="28"/>
      <c r="N33" s="28"/>
      <c r="O33" s="28"/>
      <c r="P33" s="28"/>
      <c r="Q33" s="28"/>
      <c r="R33" s="28"/>
      <c r="S33" s="28"/>
      <c r="T33" s="28"/>
    </row>
    <row r="34" spans="2:33" s="21" customFormat="1" ht="8.1" customHeight="1" thickBot="1">
      <c r="C34" s="22"/>
      <c r="D34" s="22"/>
      <c r="E34" s="22"/>
      <c r="F34" s="22"/>
      <c r="G34" s="22"/>
      <c r="H34" s="22"/>
      <c r="I34" s="22"/>
      <c r="J34" s="22"/>
      <c r="K34" s="22"/>
      <c r="L34" s="22"/>
      <c r="M34" s="22"/>
      <c r="R34" s="77"/>
      <c r="S34" s="77"/>
      <c r="T34" s="77"/>
      <c r="U34" s="1"/>
      <c r="V34" s="37"/>
      <c r="X34" s="22"/>
      <c r="Y34" s="22"/>
      <c r="Z34" s="22"/>
      <c r="AC34" s="22"/>
      <c r="AD34" s="22"/>
      <c r="AE34" s="22"/>
      <c r="AF34" s="22"/>
      <c r="AG34" s="22"/>
    </row>
    <row r="35" spans="2:33" ht="17.100000000000001" customHeight="1" thickTop="1" thickBot="1">
      <c r="C35" s="172" t="s">
        <v>683</v>
      </c>
      <c r="D35" s="173"/>
      <c r="E35" s="173"/>
      <c r="F35" s="173"/>
      <c r="G35" s="173"/>
      <c r="H35" s="173"/>
      <c r="I35" s="173"/>
      <c r="J35" s="173"/>
      <c r="K35" s="173"/>
      <c r="L35" s="173"/>
      <c r="M35" s="173"/>
      <c r="N35" s="173"/>
      <c r="O35" s="173"/>
      <c r="P35" s="173"/>
      <c r="Q35" s="173"/>
      <c r="R35" s="173"/>
      <c r="S35" s="173"/>
      <c r="T35" s="173"/>
      <c r="U35" s="173"/>
      <c r="V35" s="173"/>
      <c r="W35" s="173"/>
      <c r="X35" s="175" t="s">
        <v>669</v>
      </c>
      <c r="Y35" s="888">
        <f>現業務調査!S155</f>
        <v>0</v>
      </c>
      <c r="Z35" s="888"/>
      <c r="AA35" s="176" t="s">
        <v>684</v>
      </c>
      <c r="AB35" s="162"/>
      <c r="AC35" s="162"/>
      <c r="AD35" s="884">
        <v>0</v>
      </c>
      <c r="AE35" s="885"/>
      <c r="AF35" s="161" t="s">
        <v>685</v>
      </c>
      <c r="AG35" s="177"/>
    </row>
    <row r="36" spans="2:33" ht="14.25" thickTop="1"/>
    <row r="39" spans="2:33" s="21" customFormat="1">
      <c r="C39"/>
      <c r="D39"/>
      <c r="E39"/>
      <c r="F39"/>
      <c r="G39"/>
      <c r="H39"/>
      <c r="I39"/>
      <c r="J39"/>
      <c r="K39"/>
      <c r="L39"/>
      <c r="M39"/>
      <c r="N39"/>
      <c r="O39"/>
      <c r="P39"/>
      <c r="Q39"/>
    </row>
    <row r="40" spans="2:33" s="21" customFormat="1">
      <c r="C40"/>
      <c r="D40"/>
      <c r="E40"/>
      <c r="F40"/>
      <c r="G40"/>
      <c r="H40"/>
      <c r="I40"/>
      <c r="J40"/>
      <c r="K40"/>
      <c r="L40"/>
      <c r="M40"/>
      <c r="N40"/>
      <c r="O40"/>
      <c r="P40"/>
      <c r="Q40"/>
    </row>
    <row r="41" spans="2:33" s="21" customFormat="1">
      <c r="C41"/>
      <c r="D41"/>
      <c r="E41"/>
      <c r="F41"/>
      <c r="G41"/>
      <c r="H41"/>
      <c r="I41"/>
      <c r="J41"/>
      <c r="K41"/>
      <c r="L41"/>
      <c r="M41"/>
      <c r="N41"/>
      <c r="O41"/>
      <c r="P41"/>
      <c r="Q41"/>
    </row>
    <row r="42" spans="2:33" s="21" customFormat="1">
      <c r="C42"/>
      <c r="D42"/>
      <c r="E42"/>
      <c r="F42"/>
      <c r="G42"/>
      <c r="H42"/>
      <c r="I42"/>
      <c r="J42"/>
      <c r="K42"/>
      <c r="L42"/>
      <c r="M42"/>
      <c r="N42"/>
      <c r="O42"/>
      <c r="P42"/>
      <c r="Q42"/>
    </row>
    <row r="43" spans="2:33" s="21" customFormat="1">
      <c r="C43"/>
      <c r="D43"/>
      <c r="E43"/>
      <c r="F43"/>
      <c r="G43"/>
      <c r="H43"/>
      <c r="I43"/>
      <c r="J43"/>
      <c r="K43"/>
      <c r="L43"/>
      <c r="M43"/>
      <c r="N43"/>
      <c r="O43"/>
      <c r="P43"/>
      <c r="Q43"/>
    </row>
    <row r="44" spans="2:33" s="21" customFormat="1">
      <c r="C44"/>
      <c r="D44"/>
      <c r="E44"/>
      <c r="F44"/>
      <c r="G44"/>
      <c r="H44"/>
      <c r="I44"/>
      <c r="J44"/>
      <c r="K44"/>
      <c r="L44"/>
      <c r="M44"/>
      <c r="N44"/>
      <c r="O44"/>
      <c r="P44"/>
      <c r="Q44"/>
    </row>
    <row r="45" spans="2:33" s="21" customFormat="1">
      <c r="C45"/>
      <c r="D45"/>
      <c r="E45"/>
      <c r="F45"/>
      <c r="G45"/>
      <c r="H45"/>
      <c r="I45"/>
      <c r="J45"/>
      <c r="K45"/>
      <c r="L45"/>
      <c r="M45"/>
      <c r="N45"/>
      <c r="O45"/>
      <c r="P45"/>
      <c r="Q45"/>
    </row>
    <row r="46" spans="2:33" s="21" customFormat="1">
      <c r="C46"/>
      <c r="D46"/>
      <c r="E46"/>
      <c r="F46"/>
      <c r="G46"/>
      <c r="H46"/>
      <c r="I46"/>
      <c r="J46"/>
      <c r="K46"/>
      <c r="L46"/>
      <c r="M46"/>
      <c r="N46"/>
      <c r="O46"/>
      <c r="P46"/>
      <c r="Q46"/>
    </row>
    <row r="47" spans="2:33" s="21" customFormat="1">
      <c r="C47"/>
      <c r="D47"/>
      <c r="E47"/>
      <c r="F47"/>
      <c r="G47"/>
      <c r="H47"/>
      <c r="I47"/>
      <c r="J47"/>
      <c r="K47"/>
      <c r="L47"/>
      <c r="M47"/>
      <c r="N47"/>
      <c r="O47"/>
      <c r="P47"/>
      <c r="Q47"/>
    </row>
    <row r="48" spans="2:33" s="21" customFormat="1">
      <c r="C48"/>
      <c r="D48"/>
      <c r="E48"/>
      <c r="F48"/>
      <c r="G48"/>
      <c r="H48"/>
      <c r="I48"/>
      <c r="J48"/>
      <c r="K48"/>
      <c r="L48"/>
      <c r="M48"/>
      <c r="N48"/>
      <c r="O48"/>
      <c r="P48"/>
      <c r="Q48"/>
    </row>
    <row r="49" spans="3:17" s="21" customFormat="1">
      <c r="C49"/>
      <c r="D49"/>
      <c r="E49"/>
      <c r="F49"/>
      <c r="G49"/>
      <c r="H49"/>
      <c r="I49"/>
      <c r="J49"/>
      <c r="K49"/>
      <c r="L49"/>
      <c r="M49"/>
      <c r="N49"/>
      <c r="O49"/>
      <c r="P49"/>
      <c r="Q49"/>
    </row>
    <row r="50" spans="3:17" s="21" customFormat="1">
      <c r="C50"/>
      <c r="D50"/>
      <c r="E50"/>
      <c r="F50"/>
      <c r="G50"/>
      <c r="H50"/>
      <c r="I50"/>
      <c r="J50"/>
      <c r="K50"/>
      <c r="L50"/>
      <c r="M50"/>
      <c r="N50"/>
      <c r="O50"/>
      <c r="P50"/>
      <c r="Q50"/>
    </row>
    <row r="51" spans="3:17">
      <c r="C51"/>
      <c r="D51"/>
      <c r="E51"/>
      <c r="F51"/>
      <c r="G51"/>
      <c r="H51"/>
      <c r="I51"/>
      <c r="J51"/>
      <c r="K51"/>
      <c r="L51"/>
      <c r="M51"/>
      <c r="N51"/>
      <c r="O51"/>
      <c r="P51"/>
      <c r="Q51"/>
    </row>
  </sheetData>
  <sheetProtection password="CF68" sheet="1" objects="1" scenarios="1"/>
  <mergeCells count="21">
    <mergeCell ref="Y21:Z21"/>
    <mergeCell ref="AD12:AE12"/>
    <mergeCell ref="Y35:Z35"/>
    <mergeCell ref="B5:AJ5"/>
    <mergeCell ref="Y28:Z28"/>
    <mergeCell ref="Y9:Z9"/>
    <mergeCell ref="AD35:AE35"/>
    <mergeCell ref="AD29:AE29"/>
    <mergeCell ref="B23:AJ23"/>
    <mergeCell ref="Y18:Z18"/>
    <mergeCell ref="AD18:AE18"/>
    <mergeCell ref="AD9:AE9"/>
    <mergeCell ref="AD21:AE21"/>
    <mergeCell ref="Y12:Z12"/>
    <mergeCell ref="B31:AJ31"/>
    <mergeCell ref="W2:X2"/>
    <mergeCell ref="Y29:Z29"/>
    <mergeCell ref="AD28:AE28"/>
    <mergeCell ref="B14:AJ14"/>
    <mergeCell ref="Y2:Z2"/>
    <mergeCell ref="Y3:Z3"/>
  </mergeCells>
  <phoneticPr fontId="2"/>
  <pageMargins left="0.39370078740157483" right="0.39370078740157483" top="0.55118110236220474" bottom="0.55118110236220474" header="0.51181102362204722" footer="0.51181102362204722"/>
  <pageSetup paperSize="9" scale="75" orientation="portrait" copies="4" r:id="rId1"/>
  <headerFooter alignWithMargins="0"/>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enableFormatConditionsCalculation="0">
    <tabColor indexed="51"/>
    <pageSetUpPr fitToPage="1"/>
  </sheetPr>
  <dimension ref="A1:AJ74"/>
  <sheetViews>
    <sheetView showGridLines="0" zoomScaleNormal="100" workbookViewId="0">
      <selection activeCell="T34" sqref="T34"/>
    </sheetView>
  </sheetViews>
  <sheetFormatPr defaultRowHeight="12"/>
  <cols>
    <col min="1" max="37" width="3.625" style="161" customWidth="1"/>
    <col min="38" max="38" width="5.125" style="161" customWidth="1"/>
    <col min="39" max="50" width="3.625" style="161" customWidth="1"/>
    <col min="51" max="16384" width="9" style="161"/>
  </cols>
  <sheetData>
    <row r="1" spans="1:36" ht="21.75" thickBot="1">
      <c r="A1" s="186"/>
      <c r="B1" s="160" t="s">
        <v>714</v>
      </c>
      <c r="C1" s="186"/>
      <c r="D1" s="186"/>
    </row>
    <row r="2" spans="1:36" s="21" customFormat="1" ht="17.100000000000001" customHeight="1" thickTop="1" thickBot="1">
      <c r="B2" s="22" t="s">
        <v>584</v>
      </c>
      <c r="C2" s="26"/>
      <c r="W2" s="819"/>
      <c r="X2" s="820"/>
      <c r="Y2" s="821"/>
      <c r="Z2" s="822"/>
      <c r="AA2" s="22" t="s">
        <v>377</v>
      </c>
    </row>
    <row r="3" spans="1:36" s="21" customFormat="1" ht="17.100000000000001" customHeight="1" thickTop="1">
      <c r="B3" s="22" t="s">
        <v>835</v>
      </c>
      <c r="C3" s="26"/>
      <c r="Y3" s="823"/>
      <c r="Z3" s="824"/>
      <c r="AA3" s="22" t="s">
        <v>715</v>
      </c>
    </row>
    <row r="4" spans="1:36">
      <c r="A4" s="186"/>
      <c r="B4" s="186"/>
      <c r="C4" s="186"/>
    </row>
    <row r="5" spans="1:36">
      <c r="A5" s="186"/>
      <c r="B5" s="187" t="s">
        <v>716</v>
      </c>
      <c r="C5" s="186"/>
    </row>
    <row r="6" spans="1:36">
      <c r="A6" s="186"/>
      <c r="B6" s="187" t="s">
        <v>724</v>
      </c>
      <c r="C6" s="186"/>
    </row>
    <row r="7" spans="1:36">
      <c r="A7" s="186"/>
      <c r="B7" s="187" t="s">
        <v>725</v>
      </c>
      <c r="C7" s="186"/>
    </row>
    <row r="8" spans="1:36">
      <c r="A8" s="186"/>
      <c r="B8" s="186"/>
      <c r="C8" s="186"/>
    </row>
    <row r="9" spans="1:36" ht="17.25">
      <c r="B9" s="430" t="s">
        <v>726</v>
      </c>
      <c r="C9" s="431"/>
      <c r="D9" s="431"/>
      <c r="E9" s="431"/>
      <c r="F9" s="431"/>
      <c r="G9" s="431"/>
      <c r="H9" s="431"/>
      <c r="I9" s="431"/>
      <c r="J9" s="431"/>
      <c r="K9" s="431"/>
      <c r="L9" s="431"/>
      <c r="M9" s="431"/>
      <c r="N9" s="431"/>
      <c r="O9" s="431"/>
      <c r="P9" s="431"/>
      <c r="Q9" s="431"/>
      <c r="R9" s="431"/>
      <c r="S9" s="431"/>
      <c r="T9" s="431"/>
      <c r="U9" s="431"/>
      <c r="V9" s="431"/>
      <c r="W9" s="431"/>
      <c r="X9" s="431"/>
      <c r="Y9" s="431"/>
      <c r="Z9" s="431"/>
      <c r="AA9" s="431"/>
      <c r="AB9" s="431"/>
      <c r="AC9" s="431"/>
      <c r="AD9" s="431"/>
      <c r="AE9" s="431"/>
      <c r="AF9" s="431"/>
      <c r="AG9" s="431"/>
      <c r="AH9" s="431"/>
      <c r="AI9" s="431"/>
      <c r="AJ9" s="432"/>
    </row>
    <row r="10" spans="1:36" ht="8.1" customHeight="1" thickBot="1">
      <c r="B10" s="188"/>
      <c r="C10" s="188"/>
      <c r="D10" s="188"/>
      <c r="E10" s="188"/>
      <c r="F10" s="188"/>
      <c r="G10" s="188"/>
      <c r="H10" s="188"/>
      <c r="I10" s="188"/>
      <c r="J10" s="188"/>
      <c r="K10" s="188"/>
      <c r="L10" s="188"/>
      <c r="M10" s="188"/>
      <c r="N10" s="188"/>
      <c r="O10" s="188"/>
      <c r="P10" s="188"/>
      <c r="Q10" s="188"/>
      <c r="R10" s="188"/>
      <c r="S10" s="188"/>
      <c r="T10" s="188"/>
      <c r="U10" s="188"/>
      <c r="V10" s="188"/>
      <c r="W10" s="188"/>
      <c r="X10" s="188"/>
      <c r="Y10" s="188"/>
      <c r="Z10" s="188"/>
      <c r="AA10" s="188"/>
    </row>
    <row r="11" spans="1:36" ht="18.75" thickTop="1" thickBot="1">
      <c r="B11" s="189"/>
      <c r="C11" s="943">
        <v>1</v>
      </c>
      <c r="D11" s="944"/>
      <c r="E11" s="188" t="s">
        <v>727</v>
      </c>
      <c r="F11" s="188"/>
      <c r="G11" s="188"/>
      <c r="H11" s="188"/>
      <c r="I11" s="188"/>
      <c r="J11" s="188"/>
      <c r="K11" s="188"/>
      <c r="L11" s="188"/>
      <c r="M11" s="188"/>
      <c r="N11" s="188"/>
      <c r="O11" s="188"/>
      <c r="P11" s="188"/>
      <c r="Q11" s="188"/>
      <c r="R11" s="188"/>
      <c r="S11" s="188"/>
      <c r="T11" s="188"/>
      <c r="U11" s="188"/>
      <c r="V11" s="188"/>
      <c r="W11" s="188"/>
      <c r="X11" s="188"/>
      <c r="Y11" s="188"/>
      <c r="Z11" s="188"/>
      <c r="AA11" s="188"/>
      <c r="AB11" s="188"/>
      <c r="AC11" s="189"/>
    </row>
    <row r="12" spans="1:36" ht="17.100000000000001" customHeight="1" thickTop="1" thickBot="1">
      <c r="D12" s="172" t="s">
        <v>729</v>
      </c>
      <c r="E12" s="172"/>
      <c r="F12" s="172"/>
      <c r="G12" s="172"/>
      <c r="H12" s="172"/>
      <c r="I12" s="172"/>
      <c r="J12" s="172"/>
      <c r="K12" s="172"/>
      <c r="L12" s="172"/>
      <c r="M12" s="884"/>
      <c r="N12" s="885"/>
      <c r="O12" s="161" t="s">
        <v>526</v>
      </c>
      <c r="Q12" s="172" t="s">
        <v>730</v>
      </c>
      <c r="R12" s="172"/>
      <c r="S12" s="172"/>
      <c r="T12" s="172"/>
      <c r="U12" s="172"/>
      <c r="V12" s="172"/>
      <c r="W12" s="172"/>
      <c r="X12" s="172"/>
      <c r="Y12" s="919">
        <f>IF(ISERROR(M12/$Y$31),0,M12/$Y$31)</f>
        <v>0</v>
      </c>
      <c r="Z12" s="919"/>
    </row>
    <row r="13" spans="1:36" ht="17.100000000000001" customHeight="1" thickTop="1" thickBot="1">
      <c r="D13" s="190" t="s">
        <v>731</v>
      </c>
      <c r="E13" s="190"/>
      <c r="F13" s="190"/>
      <c r="G13" s="190"/>
      <c r="H13" s="190"/>
      <c r="I13" s="190"/>
      <c r="J13" s="190"/>
      <c r="K13" s="190"/>
      <c r="L13" s="190"/>
      <c r="M13" s="849">
        <v>0.2</v>
      </c>
      <c r="N13" s="850"/>
      <c r="Q13" s="190" t="s">
        <v>732</v>
      </c>
      <c r="R13" s="190"/>
      <c r="S13" s="190"/>
      <c r="T13" s="190"/>
      <c r="U13" s="190"/>
      <c r="V13" s="190"/>
      <c r="W13" s="190"/>
      <c r="X13" s="190"/>
      <c r="Y13" s="918">
        <f>M13*$Y$43</f>
        <v>480</v>
      </c>
      <c r="Z13" s="918"/>
      <c r="AA13" s="161" t="s">
        <v>581</v>
      </c>
    </row>
    <row r="14" spans="1:36" ht="17.100000000000001" customHeight="1" thickTop="1" thickBot="1">
      <c r="D14" s="190" t="s">
        <v>733</v>
      </c>
      <c r="E14" s="190"/>
      <c r="F14" s="190"/>
      <c r="G14" s="190"/>
      <c r="H14" s="190"/>
      <c r="I14" s="190"/>
      <c r="J14" s="190"/>
      <c r="K14" s="190"/>
      <c r="L14" s="190"/>
      <c r="M14" s="830">
        <v>0</v>
      </c>
      <c r="N14" s="831"/>
      <c r="Q14" s="190" t="s">
        <v>732</v>
      </c>
      <c r="R14" s="190"/>
      <c r="S14" s="190"/>
      <c r="T14" s="190"/>
      <c r="U14" s="190"/>
      <c r="V14" s="190"/>
      <c r="W14" s="190"/>
      <c r="X14" s="190"/>
      <c r="Y14" s="918">
        <f>M14*$Y$43</f>
        <v>0</v>
      </c>
      <c r="Z14" s="918"/>
      <c r="AA14" s="161" t="s">
        <v>581</v>
      </c>
    </row>
    <row r="15" spans="1:36" ht="18.75" thickTop="1" thickBot="1">
      <c r="C15" s="188"/>
      <c r="D15" s="188"/>
      <c r="E15" s="188"/>
      <c r="F15" s="188"/>
      <c r="G15" s="188"/>
      <c r="H15" s="188"/>
      <c r="I15" s="188"/>
      <c r="J15" s="188"/>
      <c r="K15" s="188"/>
      <c r="L15" s="188"/>
      <c r="M15" s="191"/>
      <c r="N15" s="191"/>
      <c r="O15" s="188"/>
      <c r="P15" s="188"/>
      <c r="Q15" s="188"/>
      <c r="R15" s="188"/>
      <c r="S15" s="188"/>
      <c r="T15" s="188"/>
      <c r="U15" s="188"/>
      <c r="V15" s="188"/>
      <c r="W15" s="188"/>
      <c r="X15" s="188"/>
      <c r="Y15" s="191"/>
      <c r="Z15" s="191"/>
      <c r="AA15" s="188"/>
      <c r="AB15" s="188"/>
      <c r="AC15" s="188"/>
      <c r="AD15" s="188"/>
      <c r="AE15" s="188"/>
      <c r="AF15" s="188"/>
      <c r="AG15" s="188"/>
      <c r="AH15" s="188"/>
    </row>
    <row r="16" spans="1:36" ht="18.75" thickTop="1" thickBot="1">
      <c r="B16" s="189"/>
      <c r="C16" s="943">
        <v>3</v>
      </c>
      <c r="D16" s="944"/>
      <c r="E16" s="188" t="s">
        <v>727</v>
      </c>
      <c r="F16" s="188"/>
      <c r="G16" s="188"/>
      <c r="H16" s="188"/>
      <c r="I16" s="188"/>
      <c r="J16" s="188"/>
      <c r="K16" s="188"/>
      <c r="L16" s="188"/>
      <c r="M16" s="191"/>
      <c r="N16" s="191"/>
      <c r="O16" s="188"/>
      <c r="P16" s="188"/>
      <c r="Q16" s="188"/>
      <c r="R16" s="188"/>
      <c r="S16" s="188"/>
      <c r="T16" s="188"/>
      <c r="U16" s="188"/>
      <c r="V16" s="188"/>
      <c r="W16" s="188"/>
      <c r="X16" s="188"/>
      <c r="Y16" s="191"/>
      <c r="Z16" s="191"/>
      <c r="AA16" s="188"/>
      <c r="AB16" s="188"/>
      <c r="AC16" s="188"/>
      <c r="AD16" s="188"/>
      <c r="AE16" s="188"/>
      <c r="AF16" s="188"/>
      <c r="AG16" s="188"/>
      <c r="AH16" s="188"/>
      <c r="AI16" s="189"/>
    </row>
    <row r="17" spans="1:36" ht="17.100000000000001" customHeight="1" thickTop="1" thickBot="1">
      <c r="D17" s="172" t="s">
        <v>729</v>
      </c>
      <c r="E17" s="172"/>
      <c r="F17" s="172"/>
      <c r="G17" s="172"/>
      <c r="H17" s="172"/>
      <c r="I17" s="172"/>
      <c r="J17" s="172"/>
      <c r="K17" s="172"/>
      <c r="L17" s="172"/>
      <c r="M17" s="884"/>
      <c r="N17" s="885"/>
      <c r="O17" s="161" t="s">
        <v>526</v>
      </c>
      <c r="Q17" s="172" t="s">
        <v>730</v>
      </c>
      <c r="R17" s="172"/>
      <c r="S17" s="172"/>
      <c r="T17" s="172"/>
      <c r="U17" s="172"/>
      <c r="V17" s="172"/>
      <c r="W17" s="172"/>
      <c r="X17" s="172"/>
      <c r="Y17" s="919">
        <f>IF(ISERROR(M17/$Y$31),0,M17/$Y$31)</f>
        <v>0</v>
      </c>
      <c r="Z17" s="919"/>
    </row>
    <row r="18" spans="1:36" ht="17.100000000000001" customHeight="1" thickTop="1" thickBot="1">
      <c r="D18" s="190" t="s">
        <v>731</v>
      </c>
      <c r="E18" s="190"/>
      <c r="F18" s="190"/>
      <c r="G18" s="190"/>
      <c r="H18" s="190"/>
      <c r="I18" s="190"/>
      <c r="J18" s="190"/>
      <c r="K18" s="190"/>
      <c r="L18" s="190"/>
      <c r="M18" s="849">
        <v>0.4</v>
      </c>
      <c r="N18" s="850"/>
      <c r="Q18" s="190" t="s">
        <v>732</v>
      </c>
      <c r="R18" s="190"/>
      <c r="S18" s="190"/>
      <c r="T18" s="190"/>
      <c r="U18" s="190"/>
      <c r="V18" s="190"/>
      <c r="W18" s="190"/>
      <c r="X18" s="190"/>
      <c r="Y18" s="918">
        <f>M18*$Y$43</f>
        <v>960</v>
      </c>
      <c r="Z18" s="918"/>
      <c r="AA18" s="161" t="s">
        <v>581</v>
      </c>
    </row>
    <row r="19" spans="1:36" ht="17.100000000000001" customHeight="1" thickTop="1" thickBot="1">
      <c r="D19" s="190" t="s">
        <v>733</v>
      </c>
      <c r="E19" s="190"/>
      <c r="F19" s="190"/>
      <c r="G19" s="190"/>
      <c r="H19" s="190"/>
      <c r="I19" s="190"/>
      <c r="J19" s="190"/>
      <c r="K19" s="190"/>
      <c r="L19" s="190"/>
      <c r="M19" s="830">
        <v>0</v>
      </c>
      <c r="N19" s="831"/>
      <c r="Q19" s="190" t="s">
        <v>732</v>
      </c>
      <c r="R19" s="190"/>
      <c r="S19" s="190"/>
      <c r="T19" s="190"/>
      <c r="U19" s="190"/>
      <c r="V19" s="190"/>
      <c r="W19" s="190"/>
      <c r="X19" s="190"/>
      <c r="Y19" s="918">
        <f>M19*$Y$43</f>
        <v>0</v>
      </c>
      <c r="Z19" s="918"/>
      <c r="AA19" s="161" t="s">
        <v>581</v>
      </c>
    </row>
    <row r="20" spans="1:36" ht="18.75" thickTop="1" thickBot="1">
      <c r="C20" s="188"/>
      <c r="D20" s="188"/>
      <c r="E20" s="188"/>
      <c r="F20" s="188"/>
      <c r="G20" s="188"/>
      <c r="H20" s="188"/>
      <c r="I20" s="188"/>
      <c r="J20" s="188"/>
      <c r="K20" s="188"/>
      <c r="L20" s="188"/>
      <c r="M20" s="191"/>
      <c r="N20" s="191"/>
      <c r="O20" s="188"/>
      <c r="P20" s="188"/>
      <c r="Q20" s="188"/>
      <c r="R20" s="188"/>
      <c r="S20" s="188"/>
      <c r="T20" s="188"/>
      <c r="U20" s="188"/>
      <c r="V20" s="188"/>
      <c r="W20" s="188"/>
      <c r="X20" s="188"/>
      <c r="Y20" s="191"/>
      <c r="Z20" s="191"/>
      <c r="AA20" s="188"/>
      <c r="AB20" s="188"/>
      <c r="AC20" s="188"/>
      <c r="AD20" s="188"/>
      <c r="AE20" s="188"/>
      <c r="AF20" s="188"/>
      <c r="AG20" s="188"/>
      <c r="AH20" s="188"/>
    </row>
    <row r="21" spans="1:36" ht="18.75" thickTop="1" thickBot="1">
      <c r="B21" s="189"/>
      <c r="C21" s="943">
        <v>5</v>
      </c>
      <c r="D21" s="944"/>
      <c r="E21" s="188" t="s">
        <v>727</v>
      </c>
      <c r="F21" s="188"/>
      <c r="G21" s="188"/>
      <c r="H21" s="188"/>
      <c r="I21" s="188"/>
      <c r="J21" s="188"/>
      <c r="K21" s="188"/>
      <c r="L21" s="188"/>
      <c r="M21" s="191"/>
      <c r="N21" s="191"/>
      <c r="O21" s="188"/>
      <c r="P21" s="188"/>
      <c r="Q21" s="188"/>
      <c r="R21" s="188"/>
      <c r="S21" s="188"/>
      <c r="T21" s="188"/>
      <c r="U21" s="188"/>
      <c r="V21" s="188"/>
      <c r="W21" s="188"/>
      <c r="X21" s="188"/>
      <c r="Y21" s="191"/>
      <c r="Z21" s="191"/>
      <c r="AA21" s="188"/>
      <c r="AB21" s="188"/>
      <c r="AC21" s="188"/>
      <c r="AD21" s="188"/>
      <c r="AE21" s="188"/>
      <c r="AF21" s="188"/>
      <c r="AG21" s="188"/>
      <c r="AH21" s="188"/>
      <c r="AI21" s="189"/>
    </row>
    <row r="22" spans="1:36" ht="17.100000000000001" customHeight="1" thickTop="1" thickBot="1">
      <c r="D22" s="172" t="s">
        <v>729</v>
      </c>
      <c r="E22" s="172"/>
      <c r="F22" s="172"/>
      <c r="G22" s="172"/>
      <c r="H22" s="172"/>
      <c r="I22" s="172"/>
      <c r="J22" s="172"/>
      <c r="K22" s="172"/>
      <c r="L22" s="172"/>
      <c r="M22" s="884"/>
      <c r="N22" s="885"/>
      <c r="O22" s="161" t="s">
        <v>526</v>
      </c>
      <c r="Q22" s="172" t="s">
        <v>730</v>
      </c>
      <c r="R22" s="172"/>
      <c r="S22" s="172"/>
      <c r="T22" s="172"/>
      <c r="U22" s="172"/>
      <c r="V22" s="172"/>
      <c r="W22" s="172"/>
      <c r="X22" s="172"/>
      <c r="Y22" s="919">
        <f>IF(ISERROR(M22/$Y$31),0,M22/$Y$31)</f>
        <v>0</v>
      </c>
      <c r="Z22" s="919"/>
    </row>
    <row r="23" spans="1:36" ht="17.100000000000001" customHeight="1" thickTop="1" thickBot="1">
      <c r="D23" s="190" t="s">
        <v>731</v>
      </c>
      <c r="E23" s="190"/>
      <c r="F23" s="190"/>
      <c r="G23" s="190"/>
      <c r="H23" s="190"/>
      <c r="I23" s="190"/>
      <c r="J23" s="190"/>
      <c r="K23" s="190"/>
      <c r="L23" s="190"/>
      <c r="M23" s="849">
        <v>0.6</v>
      </c>
      <c r="N23" s="850"/>
      <c r="Q23" s="190" t="s">
        <v>732</v>
      </c>
      <c r="R23" s="190"/>
      <c r="S23" s="190"/>
      <c r="T23" s="190"/>
      <c r="U23" s="190"/>
      <c r="V23" s="190"/>
      <c r="W23" s="190"/>
      <c r="X23" s="190"/>
      <c r="Y23" s="918">
        <f>M23*$Y$43</f>
        <v>1440</v>
      </c>
      <c r="Z23" s="918"/>
      <c r="AA23" s="161" t="s">
        <v>581</v>
      </c>
    </row>
    <row r="24" spans="1:36" ht="17.100000000000001" customHeight="1" thickTop="1" thickBot="1">
      <c r="D24" s="190" t="s">
        <v>733</v>
      </c>
      <c r="E24" s="190"/>
      <c r="F24" s="190"/>
      <c r="G24" s="190"/>
      <c r="H24" s="190"/>
      <c r="I24" s="190"/>
      <c r="J24" s="190"/>
      <c r="K24" s="190"/>
      <c r="L24" s="190"/>
      <c r="M24" s="830">
        <v>0</v>
      </c>
      <c r="N24" s="831"/>
      <c r="Q24" s="190" t="s">
        <v>732</v>
      </c>
      <c r="R24" s="190"/>
      <c r="S24" s="190"/>
      <c r="T24" s="190"/>
      <c r="U24" s="190"/>
      <c r="V24" s="190"/>
      <c r="W24" s="190"/>
      <c r="X24" s="190"/>
      <c r="Y24" s="918">
        <f>M24*$Y$43</f>
        <v>0</v>
      </c>
      <c r="Z24" s="918"/>
      <c r="AA24" s="161" t="s">
        <v>581</v>
      </c>
    </row>
    <row r="25" spans="1:36" ht="14.25" thickTop="1">
      <c r="L25" s="162"/>
      <c r="M25" s="162"/>
    </row>
    <row r="26" spans="1:36" ht="17.25">
      <c r="A26" s="186"/>
      <c r="B26" s="924" t="s">
        <v>734</v>
      </c>
      <c r="C26" s="925"/>
      <c r="D26" s="925"/>
      <c r="E26" s="925"/>
      <c r="F26" s="925"/>
      <c r="G26" s="925"/>
      <c r="H26" s="925"/>
      <c r="I26" s="925"/>
      <c r="J26" s="925"/>
      <c r="K26" s="925"/>
      <c r="L26" s="925"/>
      <c r="M26" s="925"/>
      <c r="N26" s="925"/>
      <c r="O26" s="925"/>
      <c r="P26" s="925"/>
      <c r="Q26" s="925"/>
      <c r="R26" s="925"/>
      <c r="S26" s="925"/>
      <c r="T26" s="925"/>
      <c r="U26" s="925"/>
      <c r="V26" s="925"/>
      <c r="W26" s="925"/>
      <c r="X26" s="925"/>
      <c r="Y26" s="925"/>
      <c r="Z26" s="925"/>
      <c r="AA26" s="925"/>
      <c r="AB26" s="925"/>
      <c r="AC26" s="925"/>
      <c r="AD26" s="925"/>
      <c r="AE26" s="925"/>
      <c r="AF26" s="925"/>
      <c r="AG26" s="925"/>
      <c r="AH26" s="925"/>
      <c r="AI26" s="925"/>
      <c r="AJ26" s="926"/>
    </row>
    <row r="27" spans="1:36" customFormat="1" ht="8.1" customHeight="1"/>
    <row r="28" spans="1:36" customFormat="1" ht="17.100000000000001" customHeight="1" thickBot="1">
      <c r="B28" s="27" t="s">
        <v>735</v>
      </c>
      <c r="C28" s="29"/>
      <c r="D28" s="28"/>
      <c r="E28" s="28"/>
      <c r="F28" s="28"/>
      <c r="G28" s="28"/>
      <c r="H28" s="28"/>
      <c r="I28" s="28"/>
      <c r="J28" s="28"/>
      <c r="K28" s="28"/>
      <c r="L28" s="28"/>
      <c r="M28" s="28"/>
      <c r="N28" s="28"/>
      <c r="O28" s="28"/>
      <c r="P28" s="28"/>
      <c r="Q28" s="28"/>
      <c r="R28" s="28"/>
      <c r="S28" s="28"/>
      <c r="T28" s="28"/>
      <c r="U28" s="115"/>
      <c r="V28" s="192"/>
      <c r="W28" s="192"/>
      <c r="X28" s="115"/>
      <c r="Y28" s="99"/>
      <c r="Z28" s="99"/>
      <c r="AA28" s="193"/>
      <c r="AB28" s="193"/>
      <c r="AC28" s="99"/>
      <c r="AD28" s="99"/>
      <c r="AE28" s="99"/>
      <c r="AF28" s="99"/>
      <c r="AG28" s="99"/>
    </row>
    <row r="29" spans="1:36" s="21" customFormat="1" ht="8.1" customHeight="1">
      <c r="C29" s="22"/>
      <c r="D29" s="22"/>
      <c r="E29" s="22"/>
      <c r="F29" s="22"/>
      <c r="G29" s="22"/>
      <c r="H29" s="22"/>
      <c r="I29" s="22"/>
      <c r="J29" s="22"/>
      <c r="K29" s="22"/>
      <c r="L29" s="22"/>
      <c r="M29" s="22"/>
      <c r="R29" s="77"/>
      <c r="S29" s="77"/>
      <c r="T29" s="77"/>
      <c r="U29" s="1"/>
      <c r="V29" s="37"/>
      <c r="X29" s="22"/>
      <c r="Y29" s="22"/>
      <c r="Z29" s="22"/>
      <c r="AC29" s="22"/>
      <c r="AD29" s="22"/>
      <c r="AE29" s="22"/>
      <c r="AF29" s="22"/>
      <c r="AG29" s="22"/>
    </row>
    <row r="30" spans="1:36" s="21" customFormat="1" ht="17.100000000000001" customHeight="1" thickBot="1">
      <c r="B30" s="22" t="s">
        <v>736</v>
      </c>
      <c r="C30" s="22"/>
      <c r="D30" s="22"/>
      <c r="E30" s="22"/>
      <c r="F30" s="22"/>
      <c r="G30" s="22"/>
      <c r="H30" s="22"/>
      <c r="I30" s="22"/>
      <c r="J30" s="22"/>
      <c r="K30" s="22"/>
      <c r="L30" s="22"/>
      <c r="M30" s="22"/>
      <c r="U30" s="1"/>
      <c r="V30" s="37"/>
      <c r="X30" s="22"/>
      <c r="Y30" s="22"/>
      <c r="Z30" s="22"/>
      <c r="AC30" s="22"/>
      <c r="AD30" s="22"/>
      <c r="AE30" s="22"/>
      <c r="AF30" s="22"/>
      <c r="AG30" s="22"/>
    </row>
    <row r="31" spans="1:36" ht="17.100000000000001" customHeight="1" thickTop="1" thickBot="1">
      <c r="C31" s="172" t="s">
        <v>737</v>
      </c>
      <c r="D31" s="172"/>
      <c r="E31" s="172"/>
      <c r="F31" s="172"/>
      <c r="G31" s="172"/>
      <c r="H31" s="172"/>
      <c r="I31" s="172"/>
      <c r="J31" s="172"/>
      <c r="K31" s="172"/>
      <c r="L31" s="172"/>
      <c r="M31" s="172"/>
      <c r="N31" s="172"/>
      <c r="O31" s="172"/>
      <c r="P31" s="172"/>
      <c r="Q31" s="172"/>
      <c r="R31" s="172"/>
      <c r="S31" s="172"/>
      <c r="T31" s="172"/>
      <c r="U31" s="172"/>
      <c r="V31" s="172"/>
      <c r="W31" s="172"/>
      <c r="X31" s="172"/>
      <c r="Y31" s="915">
        <v>0</v>
      </c>
      <c r="Z31" s="916"/>
      <c r="AA31" s="161" t="s">
        <v>738</v>
      </c>
      <c r="AD31" s="194"/>
    </row>
    <row r="32" spans="1:36" ht="17.100000000000001" customHeight="1" thickTop="1" thickBot="1">
      <c r="C32" s="169" t="s">
        <v>739</v>
      </c>
      <c r="D32" s="169"/>
      <c r="E32" s="169"/>
      <c r="F32" s="169"/>
      <c r="G32" s="169"/>
      <c r="H32" s="169"/>
      <c r="I32" s="169"/>
      <c r="J32" s="169"/>
      <c r="K32" s="169"/>
      <c r="L32" s="169"/>
      <c r="M32" s="169"/>
      <c r="N32" s="169"/>
      <c r="O32" s="169"/>
      <c r="P32" s="169"/>
      <c r="Q32" s="169"/>
      <c r="R32" s="169"/>
      <c r="S32" s="169"/>
      <c r="T32" s="169"/>
      <c r="U32" s="169"/>
      <c r="V32" s="169"/>
      <c r="W32" s="169"/>
      <c r="X32" s="169"/>
    </row>
    <row r="33" spans="2:36" ht="17.100000000000001" customHeight="1" thickTop="1" thickBot="1">
      <c r="C33" s="172" t="s">
        <v>740</v>
      </c>
      <c r="D33" s="172"/>
      <c r="E33" s="172"/>
      <c r="F33" s="172"/>
      <c r="G33" s="172"/>
      <c r="H33" s="172"/>
      <c r="I33" s="172"/>
      <c r="J33" s="172"/>
      <c r="K33" s="172"/>
      <c r="L33" s="172"/>
      <c r="M33" s="172"/>
      <c r="N33" s="172"/>
      <c r="O33" s="172"/>
      <c r="P33" s="172"/>
      <c r="Q33" s="172"/>
      <c r="R33" s="172"/>
      <c r="S33" s="172"/>
      <c r="T33" s="172"/>
      <c r="U33" s="172"/>
      <c r="V33" s="172"/>
      <c r="W33" s="172"/>
      <c r="X33" s="172"/>
      <c r="Y33" s="913">
        <v>0</v>
      </c>
      <c r="Z33" s="914"/>
      <c r="AA33" s="161" t="s">
        <v>741</v>
      </c>
      <c r="AD33" s="177"/>
    </row>
    <row r="34" spans="2:36" ht="17.100000000000001" customHeight="1" thickTop="1">
      <c r="C34" s="172" t="s">
        <v>742</v>
      </c>
      <c r="D34" s="172"/>
      <c r="E34" s="172"/>
      <c r="F34" s="172"/>
      <c r="G34" s="172"/>
      <c r="H34" s="172"/>
      <c r="I34" s="172"/>
      <c r="J34" s="172"/>
      <c r="K34" s="172"/>
      <c r="L34" s="172"/>
      <c r="M34" s="172"/>
      <c r="N34" s="172"/>
      <c r="O34" s="172"/>
      <c r="P34" s="172"/>
      <c r="Q34" s="172"/>
      <c r="R34" s="172"/>
      <c r="S34" s="172"/>
      <c r="T34" s="172"/>
      <c r="U34" s="172"/>
      <c r="V34" s="172"/>
      <c r="W34" s="172"/>
      <c r="X34" s="172"/>
      <c r="Y34" s="919">
        <f>IF(ISERROR(Y33/$Y$31),0,Y33/$Y$31)</f>
        <v>0</v>
      </c>
      <c r="Z34" s="919"/>
    </row>
    <row r="35" spans="2:36" ht="17.100000000000001" customHeight="1"/>
    <row r="36" spans="2:36" ht="17.25">
      <c r="B36" s="924" t="s">
        <v>743</v>
      </c>
      <c r="C36" s="925"/>
      <c r="D36" s="925"/>
      <c r="E36" s="925"/>
      <c r="F36" s="925"/>
      <c r="G36" s="925"/>
      <c r="H36" s="925"/>
      <c r="I36" s="925"/>
      <c r="J36" s="925"/>
      <c r="K36" s="925"/>
      <c r="L36" s="925"/>
      <c r="M36" s="925"/>
      <c r="N36" s="925"/>
      <c r="O36" s="925"/>
      <c r="P36" s="925"/>
      <c r="Q36" s="925"/>
      <c r="R36" s="925"/>
      <c r="S36" s="925"/>
      <c r="T36" s="925"/>
      <c r="U36" s="925"/>
      <c r="V36" s="925"/>
      <c r="W36" s="925"/>
      <c r="X36" s="925"/>
      <c r="Y36" s="925"/>
      <c r="Z36" s="925"/>
      <c r="AA36" s="925"/>
      <c r="AB36" s="925"/>
      <c r="AC36" s="925"/>
      <c r="AD36" s="925"/>
      <c r="AE36" s="925"/>
      <c r="AF36" s="925"/>
      <c r="AG36" s="925"/>
      <c r="AH36" s="925"/>
      <c r="AI36" s="925"/>
      <c r="AJ36" s="926"/>
    </row>
    <row r="37" spans="2:36" customFormat="1" ht="8.1" customHeight="1"/>
    <row r="38" spans="2:36" customFormat="1" ht="17.100000000000001" customHeight="1" thickBot="1">
      <c r="B38" s="27" t="s">
        <v>744</v>
      </c>
      <c r="C38" s="29"/>
      <c r="D38" s="28"/>
      <c r="E38" s="28"/>
      <c r="F38" s="28"/>
      <c r="G38" s="28"/>
      <c r="H38" s="28"/>
      <c r="I38" s="28"/>
      <c r="J38" s="28"/>
      <c r="K38" s="28"/>
      <c r="L38" s="28"/>
      <c r="M38" s="28"/>
      <c r="N38" s="28"/>
      <c r="O38" s="28"/>
      <c r="P38" s="28"/>
      <c r="Q38" s="28"/>
      <c r="R38" s="28"/>
      <c r="S38" s="28"/>
      <c r="T38" s="28"/>
      <c r="U38" s="115"/>
      <c r="V38" s="192"/>
      <c r="W38" s="192"/>
      <c r="X38" s="115"/>
      <c r="Y38" s="99"/>
      <c r="Z38" s="99"/>
      <c r="AA38" s="193"/>
      <c r="AB38" s="193"/>
      <c r="AC38" s="99"/>
      <c r="AD38" s="99"/>
      <c r="AE38" s="99"/>
      <c r="AF38" s="99"/>
      <c r="AG38" s="99"/>
    </row>
    <row r="39" spans="2:36" s="21" customFormat="1" ht="8.1" customHeight="1">
      <c r="C39" s="22"/>
      <c r="D39" s="22"/>
      <c r="E39" s="22"/>
      <c r="F39" s="22"/>
      <c r="G39" s="22"/>
      <c r="H39" s="22"/>
      <c r="I39" s="22"/>
      <c r="J39" s="22"/>
      <c r="K39" s="22"/>
      <c r="L39" s="22"/>
      <c r="M39" s="22"/>
      <c r="R39" s="77"/>
      <c r="S39" s="77"/>
      <c r="T39" s="77"/>
      <c r="U39" s="1"/>
      <c r="V39" s="37"/>
      <c r="X39" s="22"/>
      <c r="Y39" s="22"/>
      <c r="Z39" s="22"/>
      <c r="AC39" s="22"/>
      <c r="AD39" s="22"/>
      <c r="AE39" s="22"/>
      <c r="AF39" s="22"/>
      <c r="AG39" s="22"/>
    </row>
    <row r="40" spans="2:36" s="21" customFormat="1" ht="17.100000000000001" customHeight="1">
      <c r="B40" s="825" t="s">
        <v>745</v>
      </c>
      <c r="C40" s="826"/>
      <c r="D40" s="826"/>
      <c r="E40" s="826"/>
      <c r="F40" s="826"/>
      <c r="G40" s="826"/>
      <c r="H40" s="826"/>
      <c r="I40" s="826"/>
      <c r="J40" s="826"/>
      <c r="K40" s="826"/>
      <c r="L40" s="826"/>
      <c r="M40" s="826"/>
      <c r="N40" s="826"/>
      <c r="O40" s="826"/>
      <c r="P40" s="826"/>
      <c r="Q40" s="826"/>
      <c r="R40" s="826"/>
      <c r="S40" s="826"/>
      <c r="T40" s="826"/>
      <c r="U40" s="826"/>
      <c r="V40" s="826"/>
      <c r="W40" s="826"/>
      <c r="X40" s="826"/>
      <c r="Y40" s="826"/>
      <c r="Z40" s="826"/>
      <c r="AA40" s="826"/>
      <c r="AB40" s="826"/>
      <c r="AC40" s="826"/>
      <c r="AD40" s="826"/>
      <c r="AE40" s="826"/>
      <c r="AF40" s="826"/>
      <c r="AG40" s="826"/>
      <c r="AH40" s="826"/>
      <c r="AI40" s="826"/>
      <c r="AJ40" s="826"/>
    </row>
    <row r="41" spans="2:36" ht="17.100000000000001" customHeight="1">
      <c r="B41" s="826"/>
      <c r="C41" s="826"/>
      <c r="D41" s="826"/>
      <c r="E41" s="826"/>
      <c r="F41" s="826"/>
      <c r="G41" s="826"/>
      <c r="H41" s="826"/>
      <c r="I41" s="826"/>
      <c r="J41" s="826"/>
      <c r="K41" s="826"/>
      <c r="L41" s="826"/>
      <c r="M41" s="826"/>
      <c r="N41" s="826"/>
      <c r="O41" s="826"/>
      <c r="P41" s="826"/>
      <c r="Q41" s="826"/>
      <c r="R41" s="826"/>
      <c r="S41" s="826"/>
      <c r="T41" s="826"/>
      <c r="U41" s="826"/>
      <c r="V41" s="826"/>
      <c r="W41" s="826"/>
      <c r="X41" s="826"/>
      <c r="Y41" s="826"/>
      <c r="Z41" s="826"/>
      <c r="AA41" s="826"/>
      <c r="AB41" s="826"/>
      <c r="AC41" s="826"/>
      <c r="AD41" s="826"/>
      <c r="AE41" s="826"/>
      <c r="AF41" s="826"/>
      <c r="AG41" s="826"/>
      <c r="AH41" s="826"/>
      <c r="AI41" s="826"/>
      <c r="AJ41" s="826"/>
    </row>
    <row r="42" spans="2:36" ht="17.100000000000001" customHeight="1">
      <c r="B42" s="158"/>
      <c r="C42" s="158"/>
      <c r="D42" s="158"/>
      <c r="E42" s="158"/>
      <c r="F42" s="158"/>
      <c r="G42" s="158"/>
      <c r="H42" s="158"/>
      <c r="I42" s="158"/>
      <c r="J42" s="158"/>
      <c r="K42" s="158"/>
      <c r="L42" s="158"/>
      <c r="M42" s="158"/>
      <c r="N42" s="158"/>
      <c r="O42" s="158"/>
      <c r="P42" s="158"/>
      <c r="Q42" s="158"/>
      <c r="R42" s="158"/>
      <c r="S42" s="158"/>
      <c r="T42" s="158"/>
      <c r="U42" s="158"/>
      <c r="V42" s="158"/>
      <c r="W42" s="158"/>
      <c r="X42" s="158"/>
      <c r="Y42" s="158"/>
      <c r="Z42" s="158"/>
      <c r="AA42" s="158"/>
      <c r="AB42" s="158"/>
      <c r="AC42" s="158"/>
      <c r="AD42" s="158"/>
      <c r="AE42" s="158"/>
      <c r="AF42" s="158"/>
      <c r="AG42" s="158"/>
      <c r="AH42" s="158"/>
      <c r="AI42" s="158"/>
      <c r="AJ42" s="158"/>
    </row>
    <row r="43" spans="2:36" ht="17.100000000000001" customHeight="1">
      <c r="B43" s="158"/>
      <c r="C43" s="195" t="s">
        <v>746</v>
      </c>
      <c r="D43" s="195"/>
      <c r="E43" s="195"/>
      <c r="F43" s="195"/>
      <c r="G43" s="195"/>
      <c r="H43" s="195"/>
      <c r="I43" s="195"/>
      <c r="J43" s="195"/>
      <c r="K43" s="195"/>
      <c r="L43" s="195"/>
      <c r="M43" s="195"/>
      <c r="N43" s="195"/>
      <c r="O43" s="195"/>
      <c r="P43" s="195"/>
      <c r="Q43" s="195"/>
      <c r="R43" s="195"/>
      <c r="S43" s="195"/>
      <c r="T43" s="195"/>
      <c r="U43" s="195"/>
      <c r="V43" s="195"/>
      <c r="W43" s="195"/>
      <c r="X43" s="196"/>
      <c r="Y43" s="918">
        <f>業務書類量調査!U19</f>
        <v>2400</v>
      </c>
      <c r="Z43" s="918"/>
      <c r="AA43" s="161" t="s">
        <v>756</v>
      </c>
      <c r="AB43" s="158"/>
      <c r="AC43" s="158"/>
      <c r="AD43" s="158"/>
      <c r="AE43" s="158"/>
      <c r="AF43" s="158"/>
      <c r="AG43" s="158"/>
      <c r="AH43" s="158"/>
      <c r="AI43" s="158"/>
      <c r="AJ43" s="158"/>
    </row>
    <row r="44" spans="2:36" ht="17.100000000000001" customHeight="1"/>
    <row r="45" spans="2:36" s="162" customFormat="1" ht="17.100000000000001" customHeight="1">
      <c r="C45" s="920" t="s">
        <v>757</v>
      </c>
      <c r="D45" s="927" t="s">
        <v>758</v>
      </c>
      <c r="E45" s="928"/>
      <c r="F45" s="928"/>
      <c r="G45" s="928"/>
      <c r="H45" s="928"/>
      <c r="I45" s="928"/>
      <c r="J45" s="928"/>
      <c r="K45" s="928"/>
      <c r="L45" s="928"/>
      <c r="M45" s="928"/>
      <c r="N45" s="929"/>
      <c r="O45" s="927" t="s">
        <v>759</v>
      </c>
      <c r="P45" s="928"/>
      <c r="Q45" s="929"/>
      <c r="R45" s="927" t="s">
        <v>760</v>
      </c>
      <c r="S45" s="929"/>
      <c r="T45" s="933" t="s">
        <v>761</v>
      </c>
      <c r="U45" s="934"/>
      <c r="V45" s="935"/>
      <c r="W45" s="927" t="s">
        <v>762</v>
      </c>
      <c r="X45" s="928"/>
      <c r="Y45" s="929"/>
      <c r="Z45" s="927" t="s">
        <v>763</v>
      </c>
      <c r="AA45" s="928"/>
      <c r="AB45" s="929"/>
    </row>
    <row r="46" spans="2:36" s="162" customFormat="1" ht="17.100000000000001" customHeight="1" thickBot="1">
      <c r="C46" s="920"/>
      <c r="D46" s="939"/>
      <c r="E46" s="941"/>
      <c r="F46" s="941"/>
      <c r="G46" s="941"/>
      <c r="H46" s="941"/>
      <c r="I46" s="941"/>
      <c r="J46" s="941"/>
      <c r="K46" s="941"/>
      <c r="L46" s="941"/>
      <c r="M46" s="941"/>
      <c r="N46" s="940"/>
      <c r="O46" s="939"/>
      <c r="P46" s="941"/>
      <c r="Q46" s="940"/>
      <c r="R46" s="939"/>
      <c r="S46" s="940"/>
      <c r="T46" s="936"/>
      <c r="U46" s="937"/>
      <c r="V46" s="938"/>
      <c r="W46" s="939"/>
      <c r="X46" s="941"/>
      <c r="Y46" s="940"/>
      <c r="Z46" s="930"/>
      <c r="AA46" s="931"/>
      <c r="AB46" s="932"/>
    </row>
    <row r="47" spans="2:36" s="162" customFormat="1" ht="17.100000000000001" customHeight="1" thickTop="1" thickBot="1">
      <c r="C47" s="197">
        <v>1</v>
      </c>
      <c r="D47" s="897"/>
      <c r="E47" s="898"/>
      <c r="F47" s="898"/>
      <c r="G47" s="898"/>
      <c r="H47" s="898"/>
      <c r="I47" s="898"/>
      <c r="J47" s="898"/>
      <c r="K47" s="898"/>
      <c r="L47" s="898"/>
      <c r="M47" s="898"/>
      <c r="N47" s="899"/>
      <c r="O47" s="921">
        <v>0</v>
      </c>
      <c r="P47" s="922"/>
      <c r="Q47" s="923"/>
      <c r="R47" s="911"/>
      <c r="S47" s="912"/>
      <c r="T47" s="897"/>
      <c r="U47" s="898"/>
      <c r="V47" s="899"/>
      <c r="W47" s="884"/>
      <c r="X47" s="917"/>
      <c r="Y47" s="885"/>
      <c r="Z47" s="908">
        <f>IF(ISERROR(O47/$Y$43),0,O47/$Y$43)</f>
        <v>0</v>
      </c>
      <c r="AA47" s="909"/>
      <c r="AB47" s="910"/>
    </row>
    <row r="48" spans="2:36" s="162" customFormat="1" ht="17.100000000000001" customHeight="1" thickTop="1" thickBot="1">
      <c r="C48" s="198">
        <v>2</v>
      </c>
      <c r="D48" s="894"/>
      <c r="E48" s="895"/>
      <c r="F48" s="895"/>
      <c r="G48" s="895"/>
      <c r="H48" s="895"/>
      <c r="I48" s="895"/>
      <c r="J48" s="895"/>
      <c r="K48" s="895"/>
      <c r="L48" s="895"/>
      <c r="M48" s="895"/>
      <c r="N48" s="896"/>
      <c r="O48" s="903">
        <v>0</v>
      </c>
      <c r="P48" s="904"/>
      <c r="Q48" s="905"/>
      <c r="R48" s="906"/>
      <c r="S48" s="907"/>
      <c r="T48" s="897"/>
      <c r="U48" s="898"/>
      <c r="V48" s="899"/>
      <c r="W48" s="900"/>
      <c r="X48" s="901"/>
      <c r="Y48" s="902"/>
      <c r="Z48" s="908">
        <f t="shared" ref="Z48:Z56" si="0">IF(ISERROR(O48/$Y$43),0,O48/$Y$43)</f>
        <v>0</v>
      </c>
      <c r="AA48" s="909"/>
      <c r="AB48" s="910"/>
    </row>
    <row r="49" spans="3:28" s="162" customFormat="1" ht="17.100000000000001" customHeight="1" thickTop="1" thickBot="1">
      <c r="C49" s="198">
        <v>3</v>
      </c>
      <c r="D49" s="894"/>
      <c r="E49" s="895"/>
      <c r="F49" s="895"/>
      <c r="G49" s="895"/>
      <c r="H49" s="895"/>
      <c r="I49" s="895"/>
      <c r="J49" s="895"/>
      <c r="K49" s="895"/>
      <c r="L49" s="895"/>
      <c r="M49" s="895"/>
      <c r="N49" s="896"/>
      <c r="O49" s="903">
        <v>0</v>
      </c>
      <c r="P49" s="904"/>
      <c r="Q49" s="905"/>
      <c r="R49" s="906"/>
      <c r="S49" s="907"/>
      <c r="T49" s="897"/>
      <c r="U49" s="898"/>
      <c r="V49" s="899"/>
      <c r="W49" s="900"/>
      <c r="X49" s="901"/>
      <c r="Y49" s="902"/>
      <c r="Z49" s="908">
        <f t="shared" si="0"/>
        <v>0</v>
      </c>
      <c r="AA49" s="909"/>
      <c r="AB49" s="910"/>
    </row>
    <row r="50" spans="3:28" s="162" customFormat="1" ht="17.100000000000001" customHeight="1" thickTop="1" thickBot="1">
      <c r="C50" s="198">
        <v>4</v>
      </c>
      <c r="D50" s="894"/>
      <c r="E50" s="895"/>
      <c r="F50" s="895"/>
      <c r="G50" s="895"/>
      <c r="H50" s="895"/>
      <c r="I50" s="895"/>
      <c r="J50" s="895"/>
      <c r="K50" s="895"/>
      <c r="L50" s="895"/>
      <c r="M50" s="895"/>
      <c r="N50" s="896"/>
      <c r="O50" s="903">
        <v>0</v>
      </c>
      <c r="P50" s="904"/>
      <c r="Q50" s="905"/>
      <c r="R50" s="906"/>
      <c r="S50" s="907"/>
      <c r="T50" s="897"/>
      <c r="U50" s="898"/>
      <c r="V50" s="899"/>
      <c r="W50" s="900"/>
      <c r="X50" s="901"/>
      <c r="Y50" s="902"/>
      <c r="Z50" s="908">
        <f t="shared" si="0"/>
        <v>0</v>
      </c>
      <c r="AA50" s="909"/>
      <c r="AB50" s="910"/>
    </row>
    <row r="51" spans="3:28" s="162" customFormat="1" ht="17.100000000000001" customHeight="1" thickTop="1" thickBot="1">
      <c r="C51" s="198">
        <v>5</v>
      </c>
      <c r="D51" s="894"/>
      <c r="E51" s="895"/>
      <c r="F51" s="895"/>
      <c r="G51" s="895"/>
      <c r="H51" s="895"/>
      <c r="I51" s="895"/>
      <c r="J51" s="895"/>
      <c r="K51" s="895"/>
      <c r="L51" s="895"/>
      <c r="M51" s="895"/>
      <c r="N51" s="896"/>
      <c r="O51" s="903">
        <v>0</v>
      </c>
      <c r="P51" s="904"/>
      <c r="Q51" s="905"/>
      <c r="R51" s="906"/>
      <c r="S51" s="907"/>
      <c r="T51" s="897"/>
      <c r="U51" s="898"/>
      <c r="V51" s="899"/>
      <c r="W51" s="900"/>
      <c r="X51" s="901"/>
      <c r="Y51" s="902"/>
      <c r="Z51" s="908">
        <f t="shared" si="0"/>
        <v>0</v>
      </c>
      <c r="AA51" s="909"/>
      <c r="AB51" s="910"/>
    </row>
    <row r="52" spans="3:28" s="162" customFormat="1" ht="17.100000000000001" customHeight="1" thickTop="1" thickBot="1">
      <c r="C52" s="198">
        <v>6</v>
      </c>
      <c r="D52" s="894"/>
      <c r="E52" s="895"/>
      <c r="F52" s="895"/>
      <c r="G52" s="895"/>
      <c r="H52" s="895"/>
      <c r="I52" s="895"/>
      <c r="J52" s="895"/>
      <c r="K52" s="895"/>
      <c r="L52" s="895"/>
      <c r="M52" s="895"/>
      <c r="N52" s="896"/>
      <c r="O52" s="903">
        <v>0</v>
      </c>
      <c r="P52" s="904"/>
      <c r="Q52" s="905"/>
      <c r="R52" s="906"/>
      <c r="S52" s="907"/>
      <c r="T52" s="897"/>
      <c r="U52" s="898"/>
      <c r="V52" s="899"/>
      <c r="W52" s="900"/>
      <c r="X52" s="901"/>
      <c r="Y52" s="902"/>
      <c r="Z52" s="908">
        <f t="shared" si="0"/>
        <v>0</v>
      </c>
      <c r="AA52" s="909"/>
      <c r="AB52" s="910"/>
    </row>
    <row r="53" spans="3:28" s="162" customFormat="1" ht="17.100000000000001" customHeight="1" thickTop="1" thickBot="1">
      <c r="C53" s="198">
        <v>7</v>
      </c>
      <c r="D53" s="894"/>
      <c r="E53" s="895"/>
      <c r="F53" s="895"/>
      <c r="G53" s="895"/>
      <c r="H53" s="895"/>
      <c r="I53" s="895"/>
      <c r="J53" s="895"/>
      <c r="K53" s="895"/>
      <c r="L53" s="895"/>
      <c r="M53" s="895"/>
      <c r="N53" s="896"/>
      <c r="O53" s="903">
        <v>0</v>
      </c>
      <c r="P53" s="904"/>
      <c r="Q53" s="905"/>
      <c r="R53" s="906"/>
      <c r="S53" s="907"/>
      <c r="T53" s="897"/>
      <c r="U53" s="898"/>
      <c r="V53" s="899"/>
      <c r="W53" s="900"/>
      <c r="X53" s="901"/>
      <c r="Y53" s="902"/>
      <c r="Z53" s="908">
        <f t="shared" si="0"/>
        <v>0</v>
      </c>
      <c r="AA53" s="909"/>
      <c r="AB53" s="910"/>
    </row>
    <row r="54" spans="3:28" s="162" customFormat="1" ht="17.100000000000001" customHeight="1" thickTop="1" thickBot="1">
      <c r="C54" s="198">
        <v>8</v>
      </c>
      <c r="D54" s="894"/>
      <c r="E54" s="895"/>
      <c r="F54" s="895"/>
      <c r="G54" s="895"/>
      <c r="H54" s="895"/>
      <c r="I54" s="895"/>
      <c r="J54" s="895"/>
      <c r="K54" s="895"/>
      <c r="L54" s="895"/>
      <c r="M54" s="895"/>
      <c r="N54" s="896"/>
      <c r="O54" s="903">
        <v>0</v>
      </c>
      <c r="P54" s="904"/>
      <c r="Q54" s="905"/>
      <c r="R54" s="906"/>
      <c r="S54" s="907"/>
      <c r="T54" s="897"/>
      <c r="U54" s="898"/>
      <c r="V54" s="899"/>
      <c r="W54" s="900"/>
      <c r="X54" s="901"/>
      <c r="Y54" s="902"/>
      <c r="Z54" s="908">
        <f t="shared" si="0"/>
        <v>0</v>
      </c>
      <c r="AA54" s="909"/>
      <c r="AB54" s="910"/>
    </row>
    <row r="55" spans="3:28" s="162" customFormat="1" ht="17.100000000000001" customHeight="1" thickTop="1" thickBot="1">
      <c r="C55" s="198">
        <v>9</v>
      </c>
      <c r="D55" s="894"/>
      <c r="E55" s="895"/>
      <c r="F55" s="895"/>
      <c r="G55" s="895"/>
      <c r="H55" s="895"/>
      <c r="I55" s="895"/>
      <c r="J55" s="895"/>
      <c r="K55" s="895"/>
      <c r="L55" s="895"/>
      <c r="M55" s="895"/>
      <c r="N55" s="896"/>
      <c r="O55" s="903">
        <v>0</v>
      </c>
      <c r="P55" s="904"/>
      <c r="Q55" s="905"/>
      <c r="R55" s="906"/>
      <c r="S55" s="907"/>
      <c r="T55" s="897"/>
      <c r="U55" s="898"/>
      <c r="V55" s="899"/>
      <c r="W55" s="900"/>
      <c r="X55" s="901"/>
      <c r="Y55" s="902"/>
      <c r="Z55" s="908">
        <f t="shared" si="0"/>
        <v>0</v>
      </c>
      <c r="AA55" s="909"/>
      <c r="AB55" s="910"/>
    </row>
    <row r="56" spans="3:28" s="162" customFormat="1" ht="17.100000000000001" customHeight="1" thickTop="1" thickBot="1">
      <c r="C56" s="198">
        <v>10</v>
      </c>
      <c r="D56" s="894"/>
      <c r="E56" s="895"/>
      <c r="F56" s="895"/>
      <c r="G56" s="895"/>
      <c r="H56" s="895"/>
      <c r="I56" s="895"/>
      <c r="J56" s="895"/>
      <c r="K56" s="895"/>
      <c r="L56" s="895"/>
      <c r="M56" s="895"/>
      <c r="N56" s="896"/>
      <c r="O56" s="903">
        <v>0</v>
      </c>
      <c r="P56" s="904"/>
      <c r="Q56" s="905"/>
      <c r="R56" s="906"/>
      <c r="S56" s="907"/>
      <c r="T56" s="897"/>
      <c r="U56" s="898"/>
      <c r="V56" s="899"/>
      <c r="W56" s="900"/>
      <c r="X56" s="901"/>
      <c r="Y56" s="902"/>
      <c r="Z56" s="908">
        <f t="shared" si="0"/>
        <v>0</v>
      </c>
      <c r="AA56" s="909"/>
      <c r="AB56" s="910"/>
    </row>
    <row r="57" spans="3:28" ht="17.100000000000001" customHeight="1" thickTop="1"/>
    <row r="58" spans="3:28" ht="17.100000000000001" customHeight="1">
      <c r="C58" s="199" t="s">
        <v>764</v>
      </c>
      <c r="D58" s="172"/>
      <c r="E58" s="172"/>
      <c r="F58" s="199"/>
      <c r="G58" s="199"/>
      <c r="H58" s="200"/>
      <c r="I58" s="172"/>
      <c r="J58" s="172"/>
      <c r="K58" s="172"/>
      <c r="L58" s="172"/>
      <c r="M58" s="172"/>
      <c r="N58" s="172"/>
      <c r="O58" s="172"/>
      <c r="P58" s="172"/>
      <c r="Q58" s="172"/>
      <c r="R58" s="172"/>
      <c r="S58" s="172"/>
      <c r="T58" s="172"/>
      <c r="U58" s="172"/>
      <c r="V58" s="172"/>
      <c r="W58" s="172"/>
      <c r="X58" s="172"/>
      <c r="Y58" s="201"/>
      <c r="Z58" s="942">
        <f>SUM(Z47:Z56)</f>
        <v>0</v>
      </c>
      <c r="AA58" s="909"/>
      <c r="AB58" s="910"/>
    </row>
    <row r="59" spans="3:28" ht="17.100000000000001" customHeight="1">
      <c r="C59" s="176"/>
      <c r="F59" s="169"/>
      <c r="G59" s="169"/>
      <c r="H59" s="169"/>
      <c r="Z59" s="162"/>
      <c r="AA59" s="162"/>
      <c r="AB59" s="162"/>
    </row>
    <row r="60" spans="3:28" ht="17.100000000000001" customHeight="1">
      <c r="C60" s="199" t="s">
        <v>765</v>
      </c>
      <c r="D60" s="172"/>
      <c r="E60" s="172"/>
      <c r="F60" s="199"/>
      <c r="G60" s="199"/>
      <c r="H60" s="172"/>
      <c r="I60" s="172"/>
      <c r="J60" s="172"/>
      <c r="K60" s="172"/>
      <c r="L60" s="172"/>
      <c r="M60" s="172"/>
      <c r="N60" s="172"/>
      <c r="O60" s="172"/>
      <c r="P60" s="172"/>
      <c r="Q60" s="172"/>
      <c r="R60" s="172"/>
      <c r="S60" s="172"/>
      <c r="T60" s="172"/>
      <c r="U60" s="172"/>
      <c r="V60" s="172"/>
      <c r="W60" s="172"/>
      <c r="X60" s="172"/>
      <c r="Y60" s="172"/>
      <c r="Z60" s="942">
        <f ca="1">SUMIF(W47:AB56,"有",Z47:AB56)</f>
        <v>0</v>
      </c>
      <c r="AA60" s="909"/>
      <c r="AB60" s="910"/>
    </row>
    <row r="61" spans="3:28" ht="17.100000000000001" customHeight="1">
      <c r="C61" s="202" t="s">
        <v>766</v>
      </c>
      <c r="D61" s="190"/>
      <c r="E61" s="190"/>
      <c r="F61" s="202"/>
      <c r="G61" s="202"/>
      <c r="H61" s="190"/>
      <c r="I61" s="190"/>
      <c r="J61" s="190"/>
      <c r="K61" s="190"/>
      <c r="L61" s="190"/>
      <c r="M61" s="190"/>
      <c r="N61" s="190"/>
      <c r="O61" s="190"/>
      <c r="P61" s="190"/>
      <c r="Q61" s="190"/>
      <c r="R61" s="190"/>
      <c r="S61" s="190"/>
      <c r="T61" s="190"/>
      <c r="U61" s="190"/>
      <c r="V61" s="190"/>
      <c r="W61" s="190"/>
      <c r="X61" s="190"/>
      <c r="Y61" s="190"/>
      <c r="Z61" s="942">
        <f ca="1">Z58-Z60</f>
        <v>0</v>
      </c>
      <c r="AA61" s="909"/>
      <c r="AB61" s="910"/>
    </row>
    <row r="62" spans="3:28" ht="17.100000000000001" customHeight="1">
      <c r="D62" s="203"/>
      <c r="E62" s="203"/>
      <c r="F62" s="203"/>
      <c r="G62" s="203"/>
      <c r="H62" s="203"/>
      <c r="I62" s="203"/>
      <c r="J62" s="203"/>
      <c r="K62" s="203"/>
      <c r="L62" s="203"/>
      <c r="M62" s="203"/>
      <c r="N62" s="203"/>
      <c r="O62" s="203"/>
      <c r="P62" s="203"/>
      <c r="Q62" s="203"/>
      <c r="R62" s="203"/>
      <c r="S62" s="203"/>
      <c r="T62" s="203"/>
      <c r="U62" s="203"/>
      <c r="V62" s="203"/>
      <c r="W62" s="203"/>
      <c r="X62" s="203"/>
      <c r="Y62" s="203"/>
    </row>
    <row r="63" spans="3:28" s="21" customFormat="1" ht="13.5">
      <c r="C63"/>
      <c r="D63"/>
      <c r="E63"/>
      <c r="F63"/>
      <c r="G63"/>
      <c r="H63"/>
      <c r="I63"/>
      <c r="J63"/>
      <c r="K63"/>
      <c r="L63"/>
      <c r="M63"/>
      <c r="N63"/>
      <c r="O63"/>
      <c r="P63"/>
      <c r="Q63"/>
    </row>
    <row r="64" spans="3:28" s="21" customFormat="1" ht="13.5">
      <c r="C64"/>
      <c r="D64"/>
      <c r="E64"/>
      <c r="F64"/>
      <c r="G64"/>
      <c r="H64"/>
      <c r="I64"/>
      <c r="J64"/>
      <c r="K64"/>
      <c r="L64"/>
      <c r="M64"/>
      <c r="N64"/>
      <c r="O64"/>
      <c r="P64"/>
      <c r="Q64"/>
    </row>
    <row r="65" spans="3:17" s="21" customFormat="1" ht="13.5">
      <c r="C65"/>
      <c r="D65"/>
      <c r="E65"/>
      <c r="F65"/>
      <c r="G65"/>
      <c r="H65"/>
      <c r="I65"/>
      <c r="J65"/>
      <c r="K65"/>
      <c r="L65"/>
      <c r="M65"/>
      <c r="N65"/>
      <c r="O65"/>
      <c r="P65"/>
      <c r="Q65"/>
    </row>
    <row r="66" spans="3:17" s="21" customFormat="1" ht="13.5">
      <c r="C66"/>
      <c r="D66"/>
      <c r="E66"/>
      <c r="F66"/>
      <c r="G66"/>
      <c r="H66"/>
      <c r="I66"/>
      <c r="J66"/>
      <c r="K66"/>
      <c r="L66"/>
      <c r="M66"/>
      <c r="N66"/>
      <c r="O66"/>
      <c r="P66"/>
      <c r="Q66"/>
    </row>
    <row r="67" spans="3:17" s="21" customFormat="1" ht="13.5">
      <c r="C67"/>
      <c r="D67"/>
      <c r="E67"/>
      <c r="F67"/>
      <c r="G67"/>
      <c r="H67"/>
      <c r="I67"/>
      <c r="J67"/>
      <c r="K67"/>
      <c r="L67"/>
      <c r="M67"/>
      <c r="N67"/>
      <c r="O67"/>
      <c r="P67"/>
      <c r="Q67"/>
    </row>
    <row r="68" spans="3:17" s="21" customFormat="1" ht="13.5">
      <c r="C68"/>
      <c r="D68"/>
      <c r="E68"/>
      <c r="F68"/>
      <c r="G68"/>
      <c r="H68"/>
      <c r="I68"/>
      <c r="J68"/>
      <c r="K68"/>
      <c r="L68"/>
      <c r="M68"/>
      <c r="N68"/>
      <c r="O68"/>
      <c r="P68"/>
      <c r="Q68"/>
    </row>
    <row r="69" spans="3:17" s="21" customFormat="1" ht="13.5">
      <c r="C69"/>
      <c r="D69"/>
      <c r="E69"/>
      <c r="F69"/>
      <c r="G69"/>
      <c r="H69"/>
      <c r="I69"/>
      <c r="J69"/>
      <c r="K69"/>
      <c r="L69"/>
      <c r="M69"/>
      <c r="N69"/>
      <c r="O69"/>
      <c r="P69"/>
      <c r="Q69"/>
    </row>
    <row r="70" spans="3:17" s="21" customFormat="1" ht="13.5">
      <c r="C70"/>
      <c r="D70"/>
      <c r="E70"/>
      <c r="F70"/>
      <c r="G70"/>
      <c r="H70"/>
      <c r="I70"/>
      <c r="J70"/>
      <c r="K70"/>
      <c r="L70"/>
      <c r="M70"/>
      <c r="N70"/>
      <c r="O70"/>
      <c r="P70"/>
      <c r="Q70"/>
    </row>
    <row r="71" spans="3:17" s="21" customFormat="1" ht="13.5">
      <c r="C71"/>
      <c r="D71"/>
      <c r="E71"/>
      <c r="F71"/>
      <c r="G71"/>
      <c r="H71"/>
      <c r="I71"/>
      <c r="J71"/>
      <c r="K71"/>
      <c r="L71"/>
      <c r="M71"/>
      <c r="N71"/>
      <c r="O71"/>
      <c r="P71"/>
      <c r="Q71"/>
    </row>
    <row r="72" spans="3:17" s="21" customFormat="1" ht="13.5">
      <c r="C72"/>
      <c r="D72"/>
      <c r="E72"/>
      <c r="F72"/>
      <c r="G72"/>
      <c r="H72"/>
      <c r="I72"/>
      <c r="J72"/>
      <c r="K72"/>
      <c r="L72"/>
      <c r="M72"/>
      <c r="N72"/>
      <c r="O72"/>
      <c r="P72"/>
      <c r="Q72"/>
    </row>
    <row r="73" spans="3:17" s="21" customFormat="1" ht="13.5">
      <c r="C73"/>
      <c r="D73"/>
      <c r="E73"/>
      <c r="F73"/>
      <c r="G73"/>
      <c r="H73"/>
      <c r="I73"/>
      <c r="J73"/>
      <c r="K73"/>
      <c r="L73"/>
      <c r="M73"/>
      <c r="N73"/>
      <c r="O73"/>
      <c r="P73"/>
      <c r="Q73"/>
    </row>
    <row r="74" spans="3:17" s="21" customFormat="1" ht="13.5">
      <c r="C74"/>
      <c r="D74"/>
      <c r="E74"/>
      <c r="F74"/>
      <c r="G74"/>
      <c r="H74"/>
      <c r="I74"/>
      <c r="J74"/>
      <c r="K74"/>
      <c r="L74"/>
      <c r="M74"/>
      <c r="N74"/>
      <c r="O74"/>
      <c r="P74"/>
      <c r="Q74"/>
    </row>
  </sheetData>
  <sheetProtection password="CF68" sheet="1" objects="1" scenarios="1"/>
  <mergeCells count="101">
    <mergeCell ref="M24:N24"/>
    <mergeCell ref="Y24:Z24"/>
    <mergeCell ref="C21:D21"/>
    <mergeCell ref="M22:N22"/>
    <mergeCell ref="Y22:Z22"/>
    <mergeCell ref="M23:N23"/>
    <mergeCell ref="Y23:Z23"/>
    <mergeCell ref="C16:D16"/>
    <mergeCell ref="M17:N17"/>
    <mergeCell ref="Y17:Z17"/>
    <mergeCell ref="M18:N18"/>
    <mergeCell ref="Y18:Z18"/>
    <mergeCell ref="M19:N19"/>
    <mergeCell ref="Y19:Z19"/>
    <mergeCell ref="C11:D11"/>
    <mergeCell ref="M12:N12"/>
    <mergeCell ref="Y12:Z12"/>
    <mergeCell ref="M13:N13"/>
    <mergeCell ref="Y13:Z13"/>
    <mergeCell ref="M14:N14"/>
    <mergeCell ref="Y14:Z14"/>
    <mergeCell ref="Y2:Z2"/>
    <mergeCell ref="Y3:Z3"/>
    <mergeCell ref="Z61:AB61"/>
    <mergeCell ref="Z60:AB60"/>
    <mergeCell ref="Z58:AB58"/>
    <mergeCell ref="B40:AJ41"/>
    <mergeCell ref="W55:Y55"/>
    <mergeCell ref="Z55:AB55"/>
    <mergeCell ref="D56:N56"/>
    <mergeCell ref="B26:AJ26"/>
    <mergeCell ref="C45:C46"/>
    <mergeCell ref="O47:Q47"/>
    <mergeCell ref="D47:N47"/>
    <mergeCell ref="B36:AJ36"/>
    <mergeCell ref="Z45:AB46"/>
    <mergeCell ref="T45:V46"/>
    <mergeCell ref="R45:S46"/>
    <mergeCell ref="O45:Q46"/>
    <mergeCell ref="D45:N46"/>
    <mergeCell ref="W45:Y46"/>
    <mergeCell ref="Y33:Z33"/>
    <mergeCell ref="Y31:Z31"/>
    <mergeCell ref="Z47:AB47"/>
    <mergeCell ref="W47:Y47"/>
    <mergeCell ref="Y43:Z43"/>
    <mergeCell ref="Y34:Z34"/>
    <mergeCell ref="D48:N48"/>
    <mergeCell ref="O48:Q48"/>
    <mergeCell ref="R48:S48"/>
    <mergeCell ref="T48:V48"/>
    <mergeCell ref="T47:V47"/>
    <mergeCell ref="R47:S47"/>
    <mergeCell ref="Z51:AB51"/>
    <mergeCell ref="T52:V52"/>
    <mergeCell ref="W48:Y48"/>
    <mergeCell ref="Z48:AB48"/>
    <mergeCell ref="D49:N49"/>
    <mergeCell ref="O49:Q49"/>
    <mergeCell ref="R49:S49"/>
    <mergeCell ref="T49:V49"/>
    <mergeCell ref="W49:Y49"/>
    <mergeCell ref="Z49:AB49"/>
    <mergeCell ref="R52:S52"/>
    <mergeCell ref="R53:S53"/>
    <mergeCell ref="W50:Y50"/>
    <mergeCell ref="Z50:AB50"/>
    <mergeCell ref="D51:N51"/>
    <mergeCell ref="D52:N52"/>
    <mergeCell ref="D50:N50"/>
    <mergeCell ref="O50:Q50"/>
    <mergeCell ref="R50:S50"/>
    <mergeCell ref="T50:V50"/>
    <mergeCell ref="T51:V51"/>
    <mergeCell ref="W54:Y54"/>
    <mergeCell ref="O51:Q51"/>
    <mergeCell ref="O52:Q52"/>
    <mergeCell ref="O53:Q53"/>
    <mergeCell ref="Z53:AB53"/>
    <mergeCell ref="W51:Y51"/>
    <mergeCell ref="W52:Y52"/>
    <mergeCell ref="Z52:AB52"/>
    <mergeCell ref="R51:S51"/>
    <mergeCell ref="T54:V54"/>
    <mergeCell ref="O54:Q54"/>
    <mergeCell ref="O56:Q56"/>
    <mergeCell ref="R56:S56"/>
    <mergeCell ref="T56:V56"/>
    <mergeCell ref="Z56:AB56"/>
    <mergeCell ref="Z54:AB54"/>
    <mergeCell ref="W56:Y56"/>
    <mergeCell ref="W2:X2"/>
    <mergeCell ref="D53:N53"/>
    <mergeCell ref="T53:V53"/>
    <mergeCell ref="W53:Y53"/>
    <mergeCell ref="D55:N55"/>
    <mergeCell ref="O55:Q55"/>
    <mergeCell ref="R55:S55"/>
    <mergeCell ref="T55:V55"/>
    <mergeCell ref="D54:N54"/>
    <mergeCell ref="R54:S54"/>
  </mergeCells>
  <phoneticPr fontId="2"/>
  <dataValidations count="2">
    <dataValidation type="list" allowBlank="1" showInputMessage="1" showErrorMessage="1" sqref="W47:Y56">
      <formula1>"有,無"</formula1>
    </dataValidation>
    <dataValidation type="list" allowBlank="1" showInputMessage="1" showErrorMessage="1" sqref="T47:V56">
      <formula1>",材料,工事,材工共"</formula1>
    </dataValidation>
  </dataValidations>
  <pageMargins left="0.39370078740157483" right="0.39370078740157483" top="0.59055118110236227" bottom="0.59055118110236227" header="0.51181102362204722" footer="0.51181102362204722"/>
  <pageSetup paperSize="9" scale="71" orientation="portrait" r:id="rId1"/>
  <headerFooter alignWithMargins="0"/>
  <drawing r:id="rId2"/>
  <legacyDrawing r:id="rId3"/>
  <controls>
    <mc:AlternateContent xmlns:mc="http://schemas.openxmlformats.org/markup-compatibility/2006">
      <mc:Choice Requires="x14">
        <control shapeId="191489" r:id="rId4" name="calcInvest">
          <controlPr defaultSize="0" autoLine="0" r:id="rId5">
            <anchor moveWithCells="1">
              <from>
                <xdr:col>6</xdr:col>
                <xdr:colOff>28575</xdr:colOff>
                <xdr:row>7</xdr:row>
                <xdr:rowOff>95250</xdr:rowOff>
              </from>
              <to>
                <xdr:col>13</xdr:col>
                <xdr:colOff>95250</xdr:colOff>
                <xdr:row>9</xdr:row>
                <xdr:rowOff>19050</xdr:rowOff>
              </to>
            </anchor>
          </controlPr>
        </control>
      </mc:Choice>
      <mc:Fallback>
        <control shapeId="191489" r:id="rId4" name="calcInvest"/>
      </mc:Fallback>
    </mc:AlternateContent>
  </control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enableFormatConditionsCalculation="0">
    <tabColor indexed="18"/>
  </sheetPr>
  <dimension ref="B1:W391"/>
  <sheetViews>
    <sheetView showGridLines="0" view="pageBreakPreview" topLeftCell="E130" zoomScale="75" zoomScaleNormal="100" zoomScaleSheetLayoutView="75" workbookViewId="0">
      <selection activeCell="P153" sqref="P153"/>
    </sheetView>
  </sheetViews>
  <sheetFormatPr defaultRowHeight="13.5" outlineLevelRow="2"/>
  <cols>
    <col min="1" max="1" width="3.625" customWidth="1"/>
    <col min="2" max="2" width="4.625" customWidth="1"/>
    <col min="3" max="3" width="35.75" bestFit="1" customWidth="1"/>
    <col min="4" max="10" width="18.625" customWidth="1"/>
    <col min="11" max="13" width="3.625" customWidth="1"/>
    <col min="14" max="14" width="40.625" customWidth="1"/>
    <col min="15" max="15" width="9.25" style="275" customWidth="1"/>
    <col min="16" max="17" width="18.625" customWidth="1"/>
    <col min="18" max="41" width="3.625" customWidth="1"/>
  </cols>
  <sheetData>
    <row r="1" spans="2:17" ht="21">
      <c r="B1" s="160" t="s">
        <v>622</v>
      </c>
      <c r="K1" s="337"/>
      <c r="L1" s="338"/>
      <c r="M1" s="160" t="s">
        <v>623</v>
      </c>
      <c r="O1"/>
    </row>
    <row r="2" spans="2:17" ht="3.75" customHeight="1">
      <c r="K2" s="337"/>
      <c r="L2" s="338"/>
      <c r="O2"/>
    </row>
    <row r="3" spans="2:17" ht="15.95" customHeight="1">
      <c r="C3" t="s">
        <v>781</v>
      </c>
      <c r="D3" t="s">
        <v>60</v>
      </c>
      <c r="F3" t="s">
        <v>824</v>
      </c>
      <c r="K3" s="337"/>
      <c r="L3" s="338"/>
      <c r="N3" t="s">
        <v>781</v>
      </c>
      <c r="O3" t="s">
        <v>60</v>
      </c>
    </row>
    <row r="4" spans="2:17" ht="15.95" customHeight="1">
      <c r="C4" t="s">
        <v>780</v>
      </c>
      <c r="K4" s="337"/>
      <c r="L4" s="338"/>
      <c r="N4" t="s">
        <v>780</v>
      </c>
      <c r="O4"/>
    </row>
    <row r="5" spans="2:17" ht="15.95" customHeight="1">
      <c r="C5" t="s">
        <v>782</v>
      </c>
      <c r="K5" s="337"/>
      <c r="L5" s="338"/>
      <c r="N5" t="s">
        <v>782</v>
      </c>
      <c r="O5"/>
    </row>
    <row r="6" spans="2:17" ht="9" customHeight="1">
      <c r="K6" s="337"/>
      <c r="L6" s="338"/>
    </row>
    <row r="7" spans="2:17" ht="17.25">
      <c r="B7" s="947" t="s">
        <v>667</v>
      </c>
      <c r="C7" s="948"/>
      <c r="D7" s="948"/>
      <c r="E7" s="948"/>
      <c r="F7" s="948"/>
      <c r="G7" s="948"/>
      <c r="H7" s="948"/>
      <c r="I7" s="948"/>
      <c r="J7" s="949"/>
      <c r="K7" s="337"/>
      <c r="L7" s="338"/>
      <c r="M7" s="827" t="s">
        <v>667</v>
      </c>
      <c r="N7" s="828"/>
      <c r="O7" s="828"/>
      <c r="P7" s="828"/>
      <c r="Q7" s="829"/>
    </row>
    <row r="8" spans="2:17" ht="8.1" customHeight="1">
      <c r="K8" s="337"/>
      <c r="L8" s="338"/>
    </row>
    <row r="9" spans="2:17" ht="14.25" thickBot="1">
      <c r="B9" s="27" t="s">
        <v>107</v>
      </c>
      <c r="C9" s="29"/>
      <c r="D9" s="28"/>
      <c r="E9" s="28"/>
      <c r="F9" s="28"/>
      <c r="K9" s="337"/>
      <c r="L9" s="338"/>
      <c r="M9" s="27" t="s">
        <v>107</v>
      </c>
      <c r="N9" s="29"/>
      <c r="O9" s="276"/>
      <c r="P9" s="28"/>
      <c r="Q9" s="28"/>
    </row>
    <row r="10" spans="2:17" ht="8.1" customHeight="1">
      <c r="K10" s="337"/>
      <c r="L10" s="338"/>
    </row>
    <row r="11" spans="2:17" ht="29.25" customHeight="1">
      <c r="B11" s="280" t="s">
        <v>524</v>
      </c>
      <c r="C11" s="214"/>
      <c r="D11" s="210" t="s">
        <v>121</v>
      </c>
      <c r="E11" s="210" t="s">
        <v>767</v>
      </c>
      <c r="F11" s="210" t="s">
        <v>768</v>
      </c>
      <c r="G11" s="210" t="s">
        <v>529</v>
      </c>
      <c r="H11" s="210" t="s">
        <v>769</v>
      </c>
      <c r="I11" s="210" t="s">
        <v>770</v>
      </c>
      <c r="J11" s="210" t="s">
        <v>528</v>
      </c>
      <c r="K11" s="337"/>
      <c r="L11" s="338"/>
      <c r="M11" s="280" t="s">
        <v>524</v>
      </c>
      <c r="N11" s="214"/>
      <c r="O11" s="950" t="s">
        <v>163</v>
      </c>
      <c r="P11" s="210" t="s">
        <v>686</v>
      </c>
    </row>
    <row r="12" spans="2:17">
      <c r="B12" s="212"/>
      <c r="C12" s="213" t="s">
        <v>424</v>
      </c>
      <c r="D12" s="215">
        <f>現業務調査!Y18</f>
        <v>0</v>
      </c>
      <c r="E12" s="215">
        <f>現業務調査!Y19</f>
        <v>0</v>
      </c>
      <c r="F12" s="215">
        <f>現業務調査!Y20</f>
        <v>0</v>
      </c>
      <c r="G12" s="215">
        <f>現業務調査!Y21</f>
        <v>0</v>
      </c>
      <c r="H12" s="215">
        <f>現業務調査!Y22</f>
        <v>0</v>
      </c>
      <c r="I12" s="215">
        <f>現業務調査!Y23</f>
        <v>0</v>
      </c>
      <c r="J12" s="215">
        <f>現業務調査!Y24</f>
        <v>1</v>
      </c>
      <c r="K12" s="337"/>
      <c r="L12" s="338"/>
      <c r="M12" s="212"/>
      <c r="N12" s="213"/>
      <c r="O12" s="952"/>
      <c r="P12" s="215"/>
    </row>
    <row r="13" spans="2:17" ht="8.1" customHeight="1">
      <c r="D13" s="127"/>
      <c r="E13" s="127"/>
      <c r="F13" s="127"/>
      <c r="G13" s="127"/>
      <c r="H13" s="127"/>
      <c r="I13" s="127"/>
      <c r="J13" s="127"/>
      <c r="K13" s="337"/>
      <c r="L13" s="338"/>
    </row>
    <row r="14" spans="2:17">
      <c r="B14" s="67" t="s">
        <v>109</v>
      </c>
      <c r="C14" s="68"/>
      <c r="D14" s="68"/>
      <c r="E14" s="68"/>
      <c r="F14" s="68"/>
      <c r="G14" s="68"/>
      <c r="H14" s="68"/>
      <c r="I14" s="68"/>
      <c r="J14" s="69"/>
      <c r="K14" s="337"/>
      <c r="L14" s="338"/>
      <c r="M14" s="67" t="s">
        <v>109</v>
      </c>
      <c r="N14" s="68"/>
      <c r="O14" s="513"/>
      <c r="P14" s="69"/>
    </row>
    <row r="15" spans="2:17" ht="30" customHeight="1">
      <c r="B15" s="70"/>
      <c r="C15" s="216" t="s">
        <v>194</v>
      </c>
      <c r="D15" s="496">
        <v>0</v>
      </c>
      <c r="E15" s="496">
        <v>0</v>
      </c>
      <c r="F15" s="496">
        <v>0</v>
      </c>
      <c r="G15" s="496">
        <v>0</v>
      </c>
      <c r="H15" s="496">
        <v>0</v>
      </c>
      <c r="I15" s="496">
        <v>0</v>
      </c>
      <c r="J15" s="496">
        <v>0</v>
      </c>
      <c r="K15" s="337"/>
      <c r="L15" s="338"/>
      <c r="M15" s="70"/>
      <c r="N15" s="216" t="s">
        <v>688</v>
      </c>
      <c r="O15" s="511">
        <v>1</v>
      </c>
      <c r="P15" s="285">
        <f>MAX(D15:J15)*O15</f>
        <v>0</v>
      </c>
    </row>
    <row r="16" spans="2:17" ht="30" customHeight="1">
      <c r="B16" s="70"/>
      <c r="C16" s="217" t="s">
        <v>771</v>
      </c>
      <c r="D16" s="953">
        <f>現業務調査!S14</f>
        <v>0</v>
      </c>
      <c r="E16" s="953"/>
      <c r="F16" s="953"/>
      <c r="G16" s="953"/>
      <c r="H16" s="953"/>
      <c r="I16" s="953"/>
      <c r="J16" s="954"/>
      <c r="K16" s="337"/>
      <c r="L16" s="338"/>
      <c r="M16" s="70"/>
      <c r="N16" s="217" t="s">
        <v>687</v>
      </c>
      <c r="O16" s="288"/>
      <c r="P16" s="256">
        <f>導入後効果予測!AD9</f>
        <v>0</v>
      </c>
    </row>
    <row r="17" spans="2:17" ht="30" customHeight="1" thickBot="1">
      <c r="B17" s="70"/>
      <c r="C17" s="218" t="s">
        <v>603</v>
      </c>
      <c r="D17" s="497">
        <v>0</v>
      </c>
      <c r="E17" s="497">
        <v>0</v>
      </c>
      <c r="F17" s="497">
        <v>0</v>
      </c>
      <c r="G17" s="497">
        <v>0</v>
      </c>
      <c r="H17" s="497">
        <v>0</v>
      </c>
      <c r="I17" s="497">
        <v>0</v>
      </c>
      <c r="J17" s="498">
        <v>0</v>
      </c>
      <c r="K17" s="337"/>
      <c r="L17" s="338"/>
      <c r="M17" s="70"/>
      <c r="N17" s="260" t="s">
        <v>689</v>
      </c>
      <c r="O17" s="512">
        <v>0.5</v>
      </c>
      <c r="P17" s="285">
        <f>MAX(D17:J17)*O17</f>
        <v>0</v>
      </c>
    </row>
    <row r="18" spans="2:17" ht="30" customHeight="1">
      <c r="B18" s="70"/>
      <c r="C18" s="219" t="s">
        <v>772</v>
      </c>
      <c r="D18" s="281">
        <f>SUM(D15,D17)+$D$16</f>
        <v>0</v>
      </c>
      <c r="E18" s="281">
        <f t="shared" ref="E18:J18" si="0">SUM(E15,E17)+$D$16</f>
        <v>0</v>
      </c>
      <c r="F18" s="281">
        <f t="shared" si="0"/>
        <v>0</v>
      </c>
      <c r="G18" s="281">
        <f t="shared" si="0"/>
        <v>0</v>
      </c>
      <c r="H18" s="281">
        <f t="shared" si="0"/>
        <v>0</v>
      </c>
      <c r="I18" s="281">
        <f t="shared" si="0"/>
        <v>0</v>
      </c>
      <c r="J18" s="281">
        <f t="shared" si="0"/>
        <v>0</v>
      </c>
      <c r="K18" s="337"/>
      <c r="L18" s="338"/>
      <c r="M18" s="70"/>
      <c r="N18" s="219" t="s">
        <v>772</v>
      </c>
      <c r="O18" s="289"/>
      <c r="P18" s="282">
        <f>SUM(P15:P17)</f>
        <v>0</v>
      </c>
    </row>
    <row r="19" spans="2:17" ht="14.25" thickBot="1">
      <c r="B19" s="15"/>
      <c r="C19" s="271" t="s">
        <v>59</v>
      </c>
      <c r="D19" s="262">
        <f>D18*基礎情報!$Q$4</f>
        <v>0</v>
      </c>
      <c r="E19" s="262">
        <f>E18*基礎情報!$Q$4</f>
        <v>0</v>
      </c>
      <c r="F19" s="262">
        <f>F18*基礎情報!$Q$4</f>
        <v>0</v>
      </c>
      <c r="G19" s="262">
        <f>G18*基礎情報!$Q$4</f>
        <v>0</v>
      </c>
      <c r="H19" s="262">
        <f>H18*基礎情報!$Q$4</f>
        <v>0</v>
      </c>
      <c r="I19" s="262">
        <f>I18*基礎情報!$Q$4</f>
        <v>0</v>
      </c>
      <c r="J19" s="263">
        <f>J18*基礎情報!$Q$4</f>
        <v>0</v>
      </c>
      <c r="K19" s="337"/>
      <c r="L19" s="338"/>
      <c r="M19" s="15"/>
      <c r="N19" s="271" t="s">
        <v>59</v>
      </c>
      <c r="O19" s="290"/>
      <c r="P19" s="263">
        <f>P18*基礎情報!$Q$4</f>
        <v>0</v>
      </c>
    </row>
    <row r="20" spans="2:17" ht="8.1" customHeight="1">
      <c r="C20" s="204"/>
      <c r="K20" s="337"/>
      <c r="L20" s="338"/>
      <c r="N20" s="204"/>
      <c r="P20" s="204"/>
    </row>
    <row r="21" spans="2:17" ht="14.25" thickBot="1">
      <c r="B21" s="27" t="s">
        <v>106</v>
      </c>
      <c r="C21" s="29"/>
      <c r="D21" s="28"/>
      <c r="E21" s="28"/>
      <c r="F21" s="28"/>
      <c r="K21" s="337"/>
      <c r="L21" s="338"/>
      <c r="M21" s="27" t="s">
        <v>106</v>
      </c>
      <c r="N21" s="29"/>
      <c r="O21" s="276"/>
      <c r="P21" s="274"/>
      <c r="Q21" s="28"/>
    </row>
    <row r="22" spans="2:17" ht="8.1" customHeight="1">
      <c r="K22" s="337"/>
      <c r="L22" s="338"/>
      <c r="P22" s="204"/>
    </row>
    <row r="23" spans="2:17">
      <c r="B23" s="67" t="s">
        <v>110</v>
      </c>
      <c r="C23" s="68"/>
      <c r="D23" s="68"/>
      <c r="E23" s="68"/>
      <c r="F23" s="68"/>
      <c r="G23" s="68"/>
      <c r="H23" s="68"/>
      <c r="I23" s="68"/>
      <c r="J23" s="69"/>
      <c r="K23" s="337"/>
      <c r="L23" s="338"/>
      <c r="M23" s="67" t="s">
        <v>110</v>
      </c>
      <c r="N23" s="68"/>
      <c r="O23" s="286"/>
      <c r="P23" s="287"/>
    </row>
    <row r="24" spans="2:17" ht="30" customHeight="1">
      <c r="B24" s="70"/>
      <c r="C24" s="216" t="s">
        <v>777</v>
      </c>
      <c r="D24" s="496"/>
      <c r="E24" s="496">
        <v>0</v>
      </c>
      <c r="F24" s="496">
        <v>0</v>
      </c>
      <c r="G24" s="496"/>
      <c r="H24" s="496"/>
      <c r="I24" s="496"/>
      <c r="J24" s="496"/>
      <c r="K24" s="337"/>
      <c r="L24" s="338"/>
      <c r="M24" s="70"/>
      <c r="N24" s="216" t="s">
        <v>690</v>
      </c>
      <c r="O24" s="511">
        <v>0</v>
      </c>
      <c r="P24" s="256">
        <f>MAX(D24:J24)*O24</f>
        <v>0</v>
      </c>
    </row>
    <row r="25" spans="2:17" ht="30" customHeight="1" thickBot="1">
      <c r="B25" s="70"/>
      <c r="C25" s="218" t="s">
        <v>776</v>
      </c>
      <c r="D25" s="497"/>
      <c r="E25" s="497"/>
      <c r="F25" s="497"/>
      <c r="G25" s="497"/>
      <c r="H25" s="497">
        <v>0</v>
      </c>
      <c r="I25" s="497"/>
      <c r="J25" s="497"/>
      <c r="K25" s="337"/>
      <c r="L25" s="338"/>
      <c r="M25" s="70"/>
      <c r="N25" s="260" t="s">
        <v>691</v>
      </c>
      <c r="O25" s="512">
        <v>0</v>
      </c>
      <c r="P25" s="256">
        <f>MAX(D25:J25)*O25</f>
        <v>0</v>
      </c>
    </row>
    <row r="26" spans="2:17" ht="30" customHeight="1">
      <c r="B26" s="70"/>
      <c r="C26" s="219" t="s">
        <v>778</v>
      </c>
      <c r="D26" s="281">
        <f>SUM(D24:D25)</f>
        <v>0</v>
      </c>
      <c r="E26" s="281">
        <f t="shared" ref="E26:J26" si="1">SUM(E24:E25)</f>
        <v>0</v>
      </c>
      <c r="F26" s="281">
        <f t="shared" si="1"/>
        <v>0</v>
      </c>
      <c r="G26" s="281">
        <f t="shared" si="1"/>
        <v>0</v>
      </c>
      <c r="H26" s="281">
        <f t="shared" si="1"/>
        <v>0</v>
      </c>
      <c r="I26" s="281">
        <f t="shared" si="1"/>
        <v>0</v>
      </c>
      <c r="J26" s="281">
        <f t="shared" si="1"/>
        <v>0</v>
      </c>
      <c r="K26" s="337"/>
      <c r="L26" s="338"/>
      <c r="M26" s="70"/>
      <c r="N26" s="219" t="s">
        <v>778</v>
      </c>
      <c r="O26" s="289"/>
      <c r="P26" s="282">
        <f>SUM(P24:P25)</f>
        <v>0</v>
      </c>
    </row>
    <row r="27" spans="2:17" ht="14.25" thickBot="1">
      <c r="B27" s="15"/>
      <c r="C27" s="271" t="s">
        <v>61</v>
      </c>
      <c r="D27" s="262">
        <f>D26*基礎情報!$Q$4</f>
        <v>0</v>
      </c>
      <c r="E27" s="262">
        <f>E26*基礎情報!$Q$4</f>
        <v>0</v>
      </c>
      <c r="F27" s="262">
        <f>F26*基礎情報!$Q$4</f>
        <v>0</v>
      </c>
      <c r="G27" s="262">
        <f>G26*基礎情報!$Q$4</f>
        <v>0</v>
      </c>
      <c r="H27" s="262">
        <f>H26*基礎情報!$Q$4</f>
        <v>0</v>
      </c>
      <c r="I27" s="262">
        <f>I26*基礎情報!$Q$4</f>
        <v>0</v>
      </c>
      <c r="J27" s="263">
        <f>J26*基礎情報!$Q$4</f>
        <v>0</v>
      </c>
      <c r="K27" s="337"/>
      <c r="L27" s="338"/>
      <c r="M27" s="15"/>
      <c r="N27" s="271" t="s">
        <v>61</v>
      </c>
      <c r="O27" s="290"/>
      <c r="P27" s="263">
        <f>P26*基礎情報!$Q$4</f>
        <v>0</v>
      </c>
    </row>
    <row r="28" spans="2:17">
      <c r="B28" s="67" t="s">
        <v>426</v>
      </c>
      <c r="C28" s="68"/>
      <c r="D28" s="68"/>
      <c r="E28" s="68"/>
      <c r="F28" s="68"/>
      <c r="G28" s="68"/>
      <c r="H28" s="68"/>
      <c r="I28" s="68"/>
      <c r="J28" s="69"/>
      <c r="K28" s="337"/>
      <c r="L28" s="338"/>
      <c r="M28" s="67" t="s">
        <v>426</v>
      </c>
      <c r="N28" s="38"/>
      <c r="O28" s="278"/>
      <c r="P28" s="291"/>
    </row>
    <row r="29" spans="2:17" ht="40.5">
      <c r="B29" s="70"/>
      <c r="C29" s="217" t="s">
        <v>779</v>
      </c>
      <c r="D29" s="955">
        <f>SUM(現業務調査!Y29:Y31)</f>
        <v>0</v>
      </c>
      <c r="E29" s="955"/>
      <c r="F29" s="955"/>
      <c r="G29" s="955"/>
      <c r="H29" s="955"/>
      <c r="I29" s="955"/>
      <c r="J29" s="955"/>
      <c r="K29" s="337"/>
      <c r="L29" s="338"/>
      <c r="M29" s="70"/>
      <c r="N29" s="217" t="s">
        <v>692</v>
      </c>
      <c r="O29" s="511">
        <v>1</v>
      </c>
      <c r="P29" s="255">
        <f>MAX(D29:J29)*O29</f>
        <v>0</v>
      </c>
    </row>
    <row r="30" spans="2:17" ht="30" customHeight="1">
      <c r="B30" s="70"/>
      <c r="C30" s="220" t="s">
        <v>783</v>
      </c>
      <c r="D30" s="499">
        <f>$D$29*基礎情報!$M$14</f>
        <v>0</v>
      </c>
      <c r="E30" s="499">
        <f>$D$29*基礎情報!$M$14</f>
        <v>0</v>
      </c>
      <c r="F30" s="499">
        <f>$D$29*基礎情報!$M$14</f>
        <v>0</v>
      </c>
      <c r="G30" s="499"/>
      <c r="H30" s="499">
        <f>$D$29*基礎情報!$M$14</f>
        <v>0</v>
      </c>
      <c r="I30" s="499">
        <f>$D$29*基礎情報!$M$14</f>
        <v>0</v>
      </c>
      <c r="J30" s="499"/>
      <c r="K30" s="337"/>
      <c r="L30" s="338"/>
      <c r="M30" s="70"/>
      <c r="N30" s="220" t="s">
        <v>693</v>
      </c>
      <c r="O30" s="511">
        <v>0</v>
      </c>
      <c r="P30" s="424">
        <f>MAX(D30:J30)*O30</f>
        <v>0</v>
      </c>
    </row>
    <row r="31" spans="2:17" ht="30" customHeight="1">
      <c r="B31" s="70"/>
      <c r="C31" s="220" t="s">
        <v>784</v>
      </c>
      <c r="D31" s="499">
        <f>ROUNDUP(D29/15*10,1)</f>
        <v>0</v>
      </c>
      <c r="E31" s="499"/>
      <c r="F31" s="499"/>
      <c r="G31" s="499"/>
      <c r="H31" s="499"/>
      <c r="I31" s="499"/>
      <c r="J31" s="499"/>
      <c r="K31" s="337"/>
      <c r="L31" s="338"/>
      <c r="M31" s="70"/>
      <c r="N31" s="220" t="s">
        <v>694</v>
      </c>
      <c r="O31" s="511">
        <v>0</v>
      </c>
      <c r="P31" s="424">
        <f>MAX(D31:J31)*O31</f>
        <v>0</v>
      </c>
    </row>
    <row r="32" spans="2:17" ht="30" customHeight="1">
      <c r="B32" s="70"/>
      <c r="C32" s="220" t="s">
        <v>785</v>
      </c>
      <c r="D32" s="499"/>
      <c r="E32" s="499">
        <f>基礎情報!$M$11</f>
        <v>105</v>
      </c>
      <c r="F32" s="499">
        <f>基礎情報!$T$11</f>
        <v>0</v>
      </c>
      <c r="G32" s="499"/>
      <c r="H32" s="499"/>
      <c r="I32" s="499"/>
      <c r="J32" s="499"/>
      <c r="K32" s="337"/>
      <c r="L32" s="338"/>
      <c r="M32" s="70"/>
      <c r="N32" s="220" t="s">
        <v>695</v>
      </c>
      <c r="O32" s="511">
        <v>0</v>
      </c>
      <c r="P32" s="424">
        <f>MAX(D32:J32)*O32</f>
        <v>0</v>
      </c>
    </row>
    <row r="33" spans="2:17" ht="30" customHeight="1" thickBot="1">
      <c r="B33" s="70"/>
      <c r="C33" s="221" t="s">
        <v>786</v>
      </c>
      <c r="D33" s="500"/>
      <c r="E33" s="500"/>
      <c r="F33" s="500"/>
      <c r="G33" s="500"/>
      <c r="H33" s="500">
        <f>基礎情報!$M$9</f>
        <v>0</v>
      </c>
      <c r="I33" s="500"/>
      <c r="J33" s="500"/>
      <c r="K33" s="337"/>
      <c r="L33" s="338"/>
      <c r="M33" s="70"/>
      <c r="N33" s="259" t="s">
        <v>696</v>
      </c>
      <c r="O33" s="511">
        <v>0</v>
      </c>
      <c r="P33" s="424">
        <f>MAX(D33:J33)*O33</f>
        <v>0</v>
      </c>
    </row>
    <row r="34" spans="2:17" ht="30" customHeight="1" thickBot="1">
      <c r="B34" s="15"/>
      <c r="C34" s="249" t="s">
        <v>113</v>
      </c>
      <c r="D34" s="425">
        <f>SUM(D30:D33)</f>
        <v>0</v>
      </c>
      <c r="E34" s="425">
        <f t="shared" ref="E34:J34" si="2">SUM(E30:E33)</f>
        <v>105</v>
      </c>
      <c r="F34" s="425">
        <f t="shared" si="2"/>
        <v>0</v>
      </c>
      <c r="G34" s="425">
        <f t="shared" si="2"/>
        <v>0</v>
      </c>
      <c r="H34" s="425">
        <f t="shared" si="2"/>
        <v>0</v>
      </c>
      <c r="I34" s="425">
        <f t="shared" si="2"/>
        <v>0</v>
      </c>
      <c r="J34" s="425">
        <f t="shared" si="2"/>
        <v>0</v>
      </c>
      <c r="K34" s="337"/>
      <c r="L34" s="338"/>
      <c r="M34" s="15"/>
      <c r="N34" s="249" t="s">
        <v>113</v>
      </c>
      <c r="O34" s="292"/>
      <c r="P34" s="426">
        <f>SUM(P30:P33)</f>
        <v>0</v>
      </c>
    </row>
    <row r="35" spans="2:17" ht="8.1" customHeight="1">
      <c r="C35" s="205"/>
      <c r="D35" s="206"/>
      <c r="E35" s="206"/>
      <c r="F35" s="206"/>
      <c r="G35" s="206"/>
      <c r="H35" s="206"/>
      <c r="I35" s="206"/>
      <c r="J35" s="206"/>
      <c r="K35" s="337"/>
      <c r="L35" s="338"/>
    </row>
    <row r="36" spans="2:17" ht="14.25" thickBot="1">
      <c r="B36" s="27" t="s">
        <v>793</v>
      </c>
      <c r="C36" s="29"/>
      <c r="D36" s="28"/>
      <c r="E36" s="28"/>
      <c r="F36" s="28"/>
      <c r="K36" s="337"/>
      <c r="L36" s="338"/>
      <c r="M36" s="27" t="s">
        <v>793</v>
      </c>
      <c r="N36" s="29"/>
      <c r="O36" s="279"/>
      <c r="P36" s="28"/>
      <c r="Q36" s="28"/>
    </row>
    <row r="37" spans="2:17" ht="8.1" customHeight="1" thickBot="1">
      <c r="K37" s="337"/>
      <c r="L37" s="338"/>
    </row>
    <row r="38" spans="2:17" ht="23.1" customHeight="1">
      <c r="C38" s="228" t="s">
        <v>773</v>
      </c>
      <c r="D38" s="283">
        <f>SUMPRODUCT($D$12:$J$12,$D$18:$J$18)</f>
        <v>0</v>
      </c>
      <c r="K38" s="337"/>
      <c r="L38" s="338"/>
      <c r="N38" s="265" t="s">
        <v>773</v>
      </c>
      <c r="O38" s="295"/>
      <c r="P38" s="293">
        <f>P18</f>
        <v>0</v>
      </c>
    </row>
    <row r="39" spans="2:17" ht="14.25" thickBot="1">
      <c r="C39" s="268" t="s">
        <v>774</v>
      </c>
      <c r="D39" s="264">
        <f>SUMPRODUCT($D$12:$J$12,$D$19:$J$19)</f>
        <v>0</v>
      </c>
      <c r="K39" s="337"/>
      <c r="L39" s="338"/>
      <c r="N39" s="296" t="s">
        <v>774</v>
      </c>
      <c r="O39" s="297"/>
      <c r="P39" s="294">
        <f>P19</f>
        <v>0</v>
      </c>
    </row>
    <row r="40" spans="2:17" ht="8.1" customHeight="1">
      <c r="K40" s="337"/>
      <c r="L40" s="338"/>
    </row>
    <row r="41" spans="2:17" ht="14.25" thickBot="1">
      <c r="B41" s="27" t="s">
        <v>108</v>
      </c>
      <c r="C41" s="29"/>
      <c r="D41" s="28"/>
      <c r="E41" s="28"/>
      <c r="F41" s="28"/>
      <c r="K41" s="337"/>
      <c r="L41" s="338"/>
      <c r="M41" s="27" t="s">
        <v>108</v>
      </c>
      <c r="N41" s="29"/>
      <c r="O41" s="279"/>
      <c r="P41" s="28"/>
      <c r="Q41" s="28"/>
    </row>
    <row r="42" spans="2:17" ht="8.1" customHeight="1" thickBot="1">
      <c r="K42" s="337"/>
      <c r="L42" s="338"/>
    </row>
    <row r="43" spans="2:17" ht="23.1" customHeight="1">
      <c r="C43" s="228" t="s">
        <v>62</v>
      </c>
      <c r="D43" s="284">
        <f>SUMPRODUCT($D$12:$J$12,$D$26:$J$26)</f>
        <v>0</v>
      </c>
      <c r="K43" s="337"/>
      <c r="L43" s="338"/>
      <c r="N43" s="265" t="s">
        <v>62</v>
      </c>
      <c r="O43" s="295"/>
      <c r="P43" s="284">
        <f>P26</f>
        <v>0</v>
      </c>
    </row>
    <row r="44" spans="2:17" ht="14.25" thickBot="1">
      <c r="C44" s="268" t="s">
        <v>105</v>
      </c>
      <c r="D44" s="264">
        <f>SUMPRODUCT($D$12:$J$12,$D$27:$J$27)</f>
        <v>0</v>
      </c>
      <c r="K44" s="337"/>
      <c r="L44" s="338"/>
      <c r="N44" s="296" t="s">
        <v>105</v>
      </c>
      <c r="O44" s="297"/>
      <c r="P44" s="264">
        <f>P27</f>
        <v>0</v>
      </c>
    </row>
    <row r="45" spans="2:17" ht="8.1" customHeight="1">
      <c r="K45" s="337"/>
      <c r="L45" s="338"/>
    </row>
    <row r="46" spans="2:17" ht="14.25" thickBot="1">
      <c r="B46" s="27" t="s">
        <v>787</v>
      </c>
      <c r="C46" s="29"/>
      <c r="D46" s="28"/>
      <c r="E46" s="28"/>
      <c r="F46" s="28"/>
      <c r="K46" s="337"/>
      <c r="L46" s="338"/>
      <c r="M46" s="27" t="s">
        <v>787</v>
      </c>
      <c r="N46" s="29"/>
      <c r="O46" s="279"/>
      <c r="P46" s="28"/>
      <c r="Q46" s="28"/>
    </row>
    <row r="47" spans="2:17" ht="8.1" customHeight="1" thickBot="1">
      <c r="K47" s="337"/>
      <c r="L47" s="338"/>
    </row>
    <row r="48" spans="2:17" ht="23.1" customHeight="1" thickBot="1">
      <c r="C48" s="227" t="s">
        <v>788</v>
      </c>
      <c r="D48" s="428">
        <f>SUMPRODUCT($D$12:$J$12,$D$34:$J$34)</f>
        <v>0</v>
      </c>
      <c r="K48" s="337"/>
      <c r="L48" s="338"/>
      <c r="N48" s="298" t="s">
        <v>788</v>
      </c>
      <c r="O48" s="299"/>
      <c r="P48" s="427">
        <f>P34</f>
        <v>0</v>
      </c>
    </row>
    <row r="49" spans="2:17" ht="8.1" customHeight="1">
      <c r="K49" s="337"/>
      <c r="L49" s="338"/>
    </row>
    <row r="50" spans="2:17" ht="14.25" thickBot="1">
      <c r="B50" s="27" t="s">
        <v>790</v>
      </c>
      <c r="C50" s="29"/>
      <c r="D50" s="28"/>
      <c r="E50" s="28"/>
      <c r="F50" s="28"/>
      <c r="K50" s="337"/>
      <c r="L50" s="338"/>
      <c r="M50" s="27" t="s">
        <v>790</v>
      </c>
      <c r="N50" s="29"/>
      <c r="O50" s="279"/>
      <c r="P50" s="28"/>
      <c r="Q50" s="28"/>
    </row>
    <row r="51" spans="2:17" ht="8.1" customHeight="1" thickBot="1">
      <c r="K51" s="337"/>
      <c r="L51" s="338"/>
    </row>
    <row r="52" spans="2:17" ht="23.1" customHeight="1">
      <c r="C52" s="222" t="s">
        <v>775</v>
      </c>
      <c r="D52" s="224">
        <f>業務書類量調査!$U$19</f>
        <v>2400</v>
      </c>
      <c r="K52" s="337"/>
      <c r="L52" s="338"/>
      <c r="N52" s="265" t="s">
        <v>775</v>
      </c>
      <c r="O52" s="295"/>
      <c r="P52" s="224">
        <f>業務書類量調査!$U$19</f>
        <v>2400</v>
      </c>
    </row>
    <row r="53" spans="2:17" ht="23.1" customHeight="1" thickBot="1">
      <c r="C53" s="223" t="s">
        <v>789</v>
      </c>
      <c r="D53" s="225">
        <f>業務書類量調査!$U$25</f>
        <v>7200</v>
      </c>
      <c r="K53" s="337"/>
      <c r="L53" s="338"/>
      <c r="N53" s="296" t="s">
        <v>789</v>
      </c>
      <c r="O53" s="297"/>
      <c r="P53" s="225">
        <f>業務書類量調査!$U$25</f>
        <v>7200</v>
      </c>
    </row>
    <row r="54" spans="2:17" ht="8.1" customHeight="1" thickBot="1">
      <c r="K54" s="337"/>
      <c r="L54" s="338"/>
    </row>
    <row r="55" spans="2:17" ht="23.1" customHeight="1">
      <c r="C55" s="222" t="s">
        <v>207</v>
      </c>
      <c r="D55" s="242">
        <f t="shared" ref="D55:J55" si="3">$D$53*D12</f>
        <v>0</v>
      </c>
      <c r="E55" s="242">
        <f t="shared" si="3"/>
        <v>0</v>
      </c>
      <c r="F55" s="242">
        <f t="shared" si="3"/>
        <v>0</v>
      </c>
      <c r="G55" s="242">
        <f t="shared" si="3"/>
        <v>0</v>
      </c>
      <c r="H55" s="242">
        <f t="shared" si="3"/>
        <v>0</v>
      </c>
      <c r="I55" s="242">
        <f t="shared" si="3"/>
        <v>0</v>
      </c>
      <c r="J55" s="243">
        <f t="shared" si="3"/>
        <v>7200</v>
      </c>
      <c r="K55" s="337"/>
      <c r="L55" s="338"/>
    </row>
    <row r="56" spans="2:17" ht="23.1" customHeight="1">
      <c r="C56" s="226" t="s">
        <v>427</v>
      </c>
      <c r="D56" s="538">
        <f>(D18*$D$52*D12)+(D26*$D$53*D12)</f>
        <v>0</v>
      </c>
      <c r="E56" s="538">
        <f t="shared" ref="E56:J56" si="4">(E18*$D$52*E12)+(E26*$D$53*E12)</f>
        <v>0</v>
      </c>
      <c r="F56" s="538">
        <f t="shared" si="4"/>
        <v>0</v>
      </c>
      <c r="G56" s="538">
        <f t="shared" si="4"/>
        <v>0</v>
      </c>
      <c r="H56" s="538">
        <f t="shared" si="4"/>
        <v>0</v>
      </c>
      <c r="I56" s="538">
        <f t="shared" si="4"/>
        <v>0</v>
      </c>
      <c r="J56" s="539">
        <f t="shared" si="4"/>
        <v>0</v>
      </c>
      <c r="K56" s="337"/>
      <c r="L56" s="338"/>
    </row>
    <row r="57" spans="2:17" s="543" customFormat="1" ht="23.1" hidden="1" customHeight="1" outlineLevel="1">
      <c r="C57" s="540" t="s">
        <v>825</v>
      </c>
      <c r="D57" s="541">
        <f>INT(D56/(60*基礎情報!$J$5))</f>
        <v>0</v>
      </c>
      <c r="E57" s="541">
        <f>INT(E56/(60*基礎情報!$J$5))</f>
        <v>0</v>
      </c>
      <c r="F57" s="541">
        <f>INT(F56/(60*基礎情報!$J$5))</f>
        <v>0</v>
      </c>
      <c r="G57" s="541">
        <f>INT(G56/(60*基礎情報!$J$5))</f>
        <v>0</v>
      </c>
      <c r="H57" s="541">
        <f>INT(H56/(60*基礎情報!$J$5))</f>
        <v>0</v>
      </c>
      <c r="I57" s="541">
        <f>INT(I56/(60*基礎情報!$J$5))</f>
        <v>0</v>
      </c>
      <c r="J57" s="542">
        <f>INT(J56/(60*基礎情報!$J$5))</f>
        <v>0</v>
      </c>
      <c r="K57" s="544"/>
      <c r="L57" s="545"/>
      <c r="O57" s="546"/>
    </row>
    <row r="58" spans="2:17" s="543" customFormat="1" ht="23.1" hidden="1" customHeight="1" outlineLevel="1">
      <c r="C58" s="540" t="s">
        <v>428</v>
      </c>
      <c r="D58" s="541">
        <f t="shared" ref="D58:J58" si="5">INT(D56/60-8*D57)</f>
        <v>0</v>
      </c>
      <c r="E58" s="541">
        <f t="shared" si="5"/>
        <v>0</v>
      </c>
      <c r="F58" s="541">
        <f t="shared" si="5"/>
        <v>0</v>
      </c>
      <c r="G58" s="541">
        <f t="shared" si="5"/>
        <v>0</v>
      </c>
      <c r="H58" s="541">
        <f t="shared" si="5"/>
        <v>0</v>
      </c>
      <c r="I58" s="541">
        <f t="shared" si="5"/>
        <v>0</v>
      </c>
      <c r="J58" s="542">
        <f t="shared" si="5"/>
        <v>0</v>
      </c>
      <c r="K58" s="544"/>
      <c r="L58" s="545"/>
      <c r="O58" s="546"/>
    </row>
    <row r="59" spans="2:17" s="543" customFormat="1" ht="23.1" hidden="1" customHeight="1" outlineLevel="1">
      <c r="C59" s="540" t="s">
        <v>523</v>
      </c>
      <c r="D59" s="541">
        <f t="shared" ref="D59:J59" si="6">ROUND(MOD(D56,60),0)</f>
        <v>0</v>
      </c>
      <c r="E59" s="541">
        <f t="shared" si="6"/>
        <v>0</v>
      </c>
      <c r="F59" s="541">
        <f t="shared" si="6"/>
        <v>0</v>
      </c>
      <c r="G59" s="541">
        <f t="shared" si="6"/>
        <v>0</v>
      </c>
      <c r="H59" s="541">
        <f t="shared" si="6"/>
        <v>0</v>
      </c>
      <c r="I59" s="541">
        <f t="shared" si="6"/>
        <v>0</v>
      </c>
      <c r="J59" s="542">
        <f t="shared" si="6"/>
        <v>0</v>
      </c>
      <c r="K59" s="544"/>
      <c r="L59" s="545"/>
      <c r="O59" s="546"/>
    </row>
    <row r="60" spans="2:17" ht="23.1" customHeight="1" collapsed="1">
      <c r="C60" s="226" t="s">
        <v>428</v>
      </c>
      <c r="D60" s="231" t="str">
        <f>IF(D57=0,"",D57&amp;"日")&amp;IF(D58=0,"",D58&amp;"時間")&amp;D59&amp;"分"</f>
        <v>0分</v>
      </c>
      <c r="E60" s="231" t="str">
        <f t="shared" ref="E60:J60" si="7">IF(E57=0,"",E57&amp;"日")&amp;IF(E58=0,"",E58&amp;"時間")&amp;E59&amp;"分"</f>
        <v>0分</v>
      </c>
      <c r="F60" s="231" t="str">
        <f t="shared" si="7"/>
        <v>0分</v>
      </c>
      <c r="G60" s="231" t="str">
        <f t="shared" si="7"/>
        <v>0分</v>
      </c>
      <c r="H60" s="231" t="str">
        <f t="shared" si="7"/>
        <v>0分</v>
      </c>
      <c r="I60" s="231" t="str">
        <f t="shared" si="7"/>
        <v>0分</v>
      </c>
      <c r="J60" s="232" t="str">
        <f t="shared" si="7"/>
        <v>0分</v>
      </c>
      <c r="K60" s="337"/>
      <c r="L60" s="338"/>
    </row>
    <row r="61" spans="2:17" ht="23.1" customHeight="1">
      <c r="C61" s="226" t="s">
        <v>425</v>
      </c>
      <c r="D61" s="246">
        <f>D56*基礎情報!$Q$4</f>
        <v>0</v>
      </c>
      <c r="E61" s="246">
        <f>E56*基礎情報!$Q$4</f>
        <v>0</v>
      </c>
      <c r="F61" s="246">
        <f>F56*基礎情報!$Q$4</f>
        <v>0</v>
      </c>
      <c r="G61" s="246">
        <f>G56*基礎情報!$Q$4</f>
        <v>0</v>
      </c>
      <c r="H61" s="246">
        <f>H56*基礎情報!$Q$4</f>
        <v>0</v>
      </c>
      <c r="I61" s="246">
        <f>I56*基礎情報!$Q$4</f>
        <v>0</v>
      </c>
      <c r="J61" s="247">
        <f>J56*基礎情報!$Q$4</f>
        <v>0</v>
      </c>
      <c r="K61" s="337"/>
      <c r="L61" s="338"/>
    </row>
    <row r="62" spans="2:17" ht="23.1" customHeight="1">
      <c r="C62" s="226" t="s">
        <v>426</v>
      </c>
      <c r="D62" s="246">
        <f t="shared" ref="D62:J62" si="8">D55*D34</f>
        <v>0</v>
      </c>
      <c r="E62" s="246">
        <f t="shared" si="8"/>
        <v>0</v>
      </c>
      <c r="F62" s="246">
        <f t="shared" si="8"/>
        <v>0</v>
      </c>
      <c r="G62" s="246">
        <f t="shared" si="8"/>
        <v>0</v>
      </c>
      <c r="H62" s="246">
        <f t="shared" si="8"/>
        <v>0</v>
      </c>
      <c r="I62" s="246">
        <f t="shared" si="8"/>
        <v>0</v>
      </c>
      <c r="J62" s="247">
        <f t="shared" si="8"/>
        <v>0</v>
      </c>
      <c r="K62" s="337"/>
      <c r="L62" s="338"/>
    </row>
    <row r="63" spans="2:17" ht="23.1" customHeight="1" thickBot="1">
      <c r="C63" s="223" t="s">
        <v>429</v>
      </c>
      <c r="D63" s="248">
        <f>SUM(D61:D62)</f>
        <v>0</v>
      </c>
      <c r="E63" s="248">
        <f t="shared" ref="E63:J63" si="9">SUM(E61:E62)</f>
        <v>0</v>
      </c>
      <c r="F63" s="248">
        <f t="shared" si="9"/>
        <v>0</v>
      </c>
      <c r="G63" s="248">
        <f t="shared" si="9"/>
        <v>0</v>
      </c>
      <c r="H63" s="248">
        <f t="shared" si="9"/>
        <v>0</v>
      </c>
      <c r="I63" s="248">
        <f t="shared" si="9"/>
        <v>0</v>
      </c>
      <c r="J63" s="230">
        <f t="shared" si="9"/>
        <v>0</v>
      </c>
      <c r="K63" s="337"/>
      <c r="L63" s="338"/>
    </row>
    <row r="64" spans="2:17" ht="8.1" customHeight="1">
      <c r="K64" s="337"/>
      <c r="L64" s="338"/>
    </row>
    <row r="65" spans="2:17" ht="14.25" thickBot="1">
      <c r="B65" s="27" t="s">
        <v>791</v>
      </c>
      <c r="C65" s="29"/>
      <c r="D65" s="28"/>
      <c r="E65" s="28"/>
      <c r="F65" s="28"/>
      <c r="K65" s="337"/>
      <c r="L65" s="338"/>
    </row>
    <row r="66" spans="2:17" ht="8.1" customHeight="1" thickBot="1">
      <c r="K66" s="337"/>
      <c r="L66" s="338"/>
    </row>
    <row r="67" spans="2:17" ht="23.1" customHeight="1">
      <c r="C67" s="233" t="s">
        <v>207</v>
      </c>
      <c r="D67" s="236">
        <f>SUM(D55:J55)</f>
        <v>7200</v>
      </c>
      <c r="K67" s="337"/>
      <c r="L67" s="338"/>
      <c r="N67" s="300" t="s">
        <v>207</v>
      </c>
      <c r="O67" s="295"/>
      <c r="P67" s="557">
        <f>P53</f>
        <v>7200</v>
      </c>
    </row>
    <row r="68" spans="2:17" ht="23.1" customHeight="1">
      <c r="C68" s="234" t="s">
        <v>358</v>
      </c>
      <c r="D68" s="561">
        <f>SUM(D56:J56)</f>
        <v>0</v>
      </c>
      <c r="K68" s="337"/>
      <c r="L68" s="338"/>
      <c r="N68" s="301" t="s">
        <v>427</v>
      </c>
      <c r="O68" s="302"/>
      <c r="P68" s="560">
        <f>(P52*P18)+(P53*P43)</f>
        <v>0</v>
      </c>
    </row>
    <row r="69" spans="2:17" s="543" customFormat="1" ht="23.1" hidden="1" customHeight="1" outlineLevel="1">
      <c r="C69" s="553" t="s">
        <v>826</v>
      </c>
      <c r="D69" s="556">
        <f>INT(D68/(60*基礎情報!$J$5))</f>
        <v>0</v>
      </c>
      <c r="K69" s="544"/>
      <c r="L69" s="545"/>
      <c r="N69" s="554" t="s">
        <v>826</v>
      </c>
      <c r="O69" s="555"/>
      <c r="P69" s="558">
        <f>INT(P68/(60*基礎情報!$J$5))</f>
        <v>0</v>
      </c>
    </row>
    <row r="70" spans="2:17" s="543" customFormat="1" ht="23.1" hidden="1" customHeight="1" outlineLevel="1">
      <c r="C70" s="553" t="s">
        <v>827</v>
      </c>
      <c r="D70" s="556">
        <f>INT(D68/60-8*D69)</f>
        <v>0</v>
      </c>
      <c r="K70" s="544"/>
      <c r="L70" s="545"/>
      <c r="N70" s="554" t="s">
        <v>827</v>
      </c>
      <c r="O70" s="555"/>
      <c r="P70" s="558">
        <f>INT(P68/60-8*P69)</f>
        <v>0</v>
      </c>
    </row>
    <row r="71" spans="2:17" s="543" customFormat="1" ht="23.1" hidden="1" customHeight="1" outlineLevel="1">
      <c r="C71" s="553" t="s">
        <v>828</v>
      </c>
      <c r="D71" s="556">
        <f>ROUND(MOD(D68,60),0)</f>
        <v>0</v>
      </c>
      <c r="K71" s="544"/>
      <c r="L71" s="545"/>
      <c r="N71" s="554" t="s">
        <v>828</v>
      </c>
      <c r="O71" s="555"/>
      <c r="P71" s="558">
        <f>ROUND(MOD(P68,60),0)</f>
        <v>0</v>
      </c>
    </row>
    <row r="72" spans="2:17" ht="23.1" customHeight="1" collapsed="1">
      <c r="C72" s="234" t="s">
        <v>428</v>
      </c>
      <c r="D72" s="238" t="str">
        <f>IF(D69=0,"",D69&amp;"日")&amp;IF(D70=0,"",D70&amp;"時間")&amp;D71&amp;"分"</f>
        <v>0分</v>
      </c>
      <c r="E72" s="339" t="e">
        <f>"※見積担当者が "&amp;基礎情報!$J$7&amp;" 人の場合、1人当たり見積作成にかかる人日は、約 "&amp;ROUNDUP((D68/12)/基礎情報!$J$7/60/基礎情報!$J$5,1)&amp;" 人日"</f>
        <v>#DIV/0!</v>
      </c>
      <c r="K72" s="337"/>
      <c r="L72" s="338"/>
      <c r="N72" s="301" t="s">
        <v>428</v>
      </c>
      <c r="O72" s="302"/>
      <c r="P72" s="550" t="str">
        <f>IF(P69=0,"",P69&amp;"日")&amp;IF(P70=0,"",P70&amp;"時間")&amp;P71&amp;"分"</f>
        <v>0分</v>
      </c>
      <c r="Q72" s="339" t="e">
        <f>"※見積担当者が "&amp;基礎情報!$J$7&amp;" 人の場合、1人当たり見積作成にかかる人日は、約 "&amp;ROUNDUP((P68/12)/基礎情報!$J$7/60/基礎情報!$J$5,1)&amp;" 人日"</f>
        <v>#DIV/0!</v>
      </c>
    </row>
    <row r="73" spans="2:17" ht="23.1" customHeight="1">
      <c r="C73" s="234" t="s">
        <v>425</v>
      </c>
      <c r="D73" s="241">
        <f>SUM(D61:J61)</f>
        <v>0</v>
      </c>
      <c r="K73" s="337"/>
      <c r="L73" s="338"/>
      <c r="N73" s="301" t="s">
        <v>425</v>
      </c>
      <c r="O73" s="302"/>
      <c r="P73" s="551">
        <f>P68*基礎情報!$Q$4</f>
        <v>0</v>
      </c>
    </row>
    <row r="74" spans="2:17" ht="23.1" customHeight="1">
      <c r="C74" s="234" t="s">
        <v>426</v>
      </c>
      <c r="D74" s="239">
        <f>SUM(D62:J62)</f>
        <v>0</v>
      </c>
      <c r="K74" s="337"/>
      <c r="L74" s="338"/>
      <c r="N74" s="301" t="s">
        <v>426</v>
      </c>
      <c r="O74" s="302"/>
      <c r="P74" s="551">
        <f>P67*P34</f>
        <v>0</v>
      </c>
    </row>
    <row r="75" spans="2:17" ht="23.1" customHeight="1" thickBot="1">
      <c r="C75" s="235" t="s">
        <v>429</v>
      </c>
      <c r="D75" s="240">
        <f>SUM(D63:J63)</f>
        <v>0</v>
      </c>
      <c r="K75" s="337"/>
      <c r="L75" s="338"/>
      <c r="N75" s="303" t="s">
        <v>429</v>
      </c>
      <c r="O75" s="297"/>
      <c r="P75" s="559">
        <f>SUM(P73:P74)</f>
        <v>0</v>
      </c>
    </row>
    <row r="76" spans="2:17" ht="8.1" customHeight="1">
      <c r="K76" s="337"/>
      <c r="L76" s="338"/>
    </row>
    <row r="77" spans="2:17" ht="17.25">
      <c r="B77" s="947" t="s">
        <v>792</v>
      </c>
      <c r="C77" s="948"/>
      <c r="D77" s="948"/>
      <c r="E77" s="948"/>
      <c r="F77" s="948"/>
      <c r="G77" s="948"/>
      <c r="H77" s="948"/>
      <c r="I77" s="948"/>
      <c r="J77" s="949"/>
      <c r="K77" s="337"/>
      <c r="L77" s="338"/>
      <c r="M77" s="947" t="s">
        <v>792</v>
      </c>
      <c r="N77" s="948"/>
      <c r="O77" s="948"/>
      <c r="P77" s="948"/>
      <c r="Q77" s="949"/>
    </row>
    <row r="78" spans="2:17" ht="8.1" customHeight="1">
      <c r="K78" s="337"/>
      <c r="L78" s="338"/>
    </row>
    <row r="79" spans="2:17" ht="14.25" thickBot="1">
      <c r="B79" s="27" t="s">
        <v>111</v>
      </c>
      <c r="C79" s="29"/>
      <c r="D79" s="28"/>
      <c r="E79" s="28"/>
      <c r="F79" s="28"/>
      <c r="K79" s="337"/>
      <c r="L79" s="338"/>
      <c r="M79" s="27" t="s">
        <v>111</v>
      </c>
      <c r="N79" s="29"/>
      <c r="O79" s="279"/>
      <c r="P79" s="28"/>
      <c r="Q79" s="28"/>
    </row>
    <row r="80" spans="2:17" ht="8.1" customHeight="1">
      <c r="K80" s="337"/>
      <c r="L80" s="338"/>
    </row>
    <row r="81" spans="2:17" ht="27">
      <c r="B81" s="280" t="s">
        <v>819</v>
      </c>
      <c r="C81" s="214"/>
      <c r="D81" s="211" t="s">
        <v>798</v>
      </c>
      <c r="E81" s="211" t="s">
        <v>799</v>
      </c>
      <c r="F81" s="211" t="s">
        <v>528</v>
      </c>
      <c r="K81" s="337"/>
      <c r="L81" s="338"/>
      <c r="M81" s="280" t="s">
        <v>819</v>
      </c>
      <c r="N81" s="214"/>
      <c r="O81" s="950" t="s">
        <v>163</v>
      </c>
      <c r="P81" s="210" t="s">
        <v>686</v>
      </c>
    </row>
    <row r="82" spans="2:17">
      <c r="B82" s="212"/>
      <c r="C82" s="213" t="s">
        <v>424</v>
      </c>
      <c r="D82" s="215">
        <f>現業務調査!Y55</f>
        <v>0</v>
      </c>
      <c r="E82" s="215">
        <f>現業務調査!Y56</f>
        <v>0</v>
      </c>
      <c r="F82" s="215">
        <f>現業務調査!Y57</f>
        <v>1</v>
      </c>
      <c r="K82" s="337"/>
      <c r="L82" s="338"/>
      <c r="M82" s="212"/>
      <c r="N82" s="213"/>
      <c r="O82" s="952"/>
      <c r="P82" s="215"/>
    </row>
    <row r="83" spans="2:17" ht="8.1" customHeight="1">
      <c r="D83" s="127"/>
      <c r="E83" s="127"/>
      <c r="F83" s="127"/>
      <c r="K83" s="337"/>
      <c r="L83" s="338"/>
    </row>
    <row r="84" spans="2:17">
      <c r="B84" s="67" t="s">
        <v>109</v>
      </c>
      <c r="C84" s="68"/>
      <c r="D84" s="68"/>
      <c r="E84" s="68"/>
      <c r="F84" s="69"/>
      <c r="K84" s="337"/>
      <c r="L84" s="338"/>
      <c r="M84" s="67" t="s">
        <v>109</v>
      </c>
      <c r="N84" s="68"/>
      <c r="O84" s="286"/>
      <c r="P84" s="69"/>
    </row>
    <row r="85" spans="2:17" ht="27">
      <c r="B85" s="70"/>
      <c r="C85" s="216" t="s">
        <v>795</v>
      </c>
      <c r="D85" s="496">
        <v>0</v>
      </c>
      <c r="E85" s="496">
        <v>0</v>
      </c>
      <c r="F85" s="496">
        <v>0</v>
      </c>
      <c r="K85" s="337"/>
      <c r="L85" s="338"/>
      <c r="M85" s="70"/>
      <c r="N85" s="216" t="s">
        <v>795</v>
      </c>
      <c r="O85" s="511">
        <v>0</v>
      </c>
      <c r="P85" s="285">
        <f>MAX(D85:J85)*O85</f>
        <v>0</v>
      </c>
    </row>
    <row r="86" spans="2:17" ht="27.75" thickBot="1">
      <c r="B86" s="70"/>
      <c r="C86" s="218" t="s">
        <v>794</v>
      </c>
      <c r="D86" s="497">
        <v>0</v>
      </c>
      <c r="E86" s="497">
        <v>0</v>
      </c>
      <c r="F86" s="497">
        <v>0</v>
      </c>
      <c r="K86" s="337"/>
      <c r="L86" s="338"/>
      <c r="M86" s="70"/>
      <c r="N86" s="260" t="s">
        <v>794</v>
      </c>
      <c r="O86" s="512">
        <v>1</v>
      </c>
      <c r="P86" s="285">
        <f>MAX(D86:J86)*O86</f>
        <v>0</v>
      </c>
    </row>
    <row r="87" spans="2:17" ht="30" customHeight="1">
      <c r="B87" s="70"/>
      <c r="C87" s="219" t="s">
        <v>811</v>
      </c>
      <c r="D87" s="281">
        <f>SUM(D85:D86)</f>
        <v>0</v>
      </c>
      <c r="E87" s="281">
        <f>SUM(E85:E86)</f>
        <v>0</v>
      </c>
      <c r="F87" s="281">
        <f>SUM(F85:F86)</f>
        <v>0</v>
      </c>
      <c r="K87" s="337"/>
      <c r="L87" s="338"/>
      <c r="M87" s="70"/>
      <c r="N87" s="219" t="s">
        <v>811</v>
      </c>
      <c r="O87" s="305"/>
      <c r="P87" s="282">
        <f>SUM(P85:P86)</f>
        <v>0</v>
      </c>
    </row>
    <row r="88" spans="2:17" ht="14.25" thickBot="1">
      <c r="B88" s="70"/>
      <c r="C88" s="270" t="s">
        <v>61</v>
      </c>
      <c r="D88" s="272">
        <f>D87*基礎情報!$Q$4</f>
        <v>0</v>
      </c>
      <c r="E88" s="272">
        <f>E87*基礎情報!$Q$4</f>
        <v>0</v>
      </c>
      <c r="F88" s="273">
        <f>F87*基礎情報!$Q$4</f>
        <v>0</v>
      </c>
      <c r="K88" s="337"/>
      <c r="L88" s="338"/>
      <c r="M88" s="15"/>
      <c r="N88" s="270" t="s">
        <v>61</v>
      </c>
      <c r="O88" s="306"/>
      <c r="P88" s="263">
        <f>P87*基礎情報!$Q$4</f>
        <v>0</v>
      </c>
    </row>
    <row r="89" spans="2:17">
      <c r="B89" s="70" t="s">
        <v>426</v>
      </c>
      <c r="C89" s="38"/>
      <c r="D89" s="38"/>
      <c r="E89" s="38"/>
      <c r="F89" s="71"/>
      <c r="K89" s="337"/>
      <c r="L89" s="338"/>
      <c r="M89" s="67" t="s">
        <v>426</v>
      </c>
      <c r="N89" s="38"/>
      <c r="O89" s="277"/>
      <c r="P89" s="71"/>
    </row>
    <row r="90" spans="2:17" ht="30" customHeight="1" thickBot="1">
      <c r="B90" s="70"/>
      <c r="C90" s="221" t="s">
        <v>112</v>
      </c>
      <c r="D90" s="500">
        <f>$D$29*基礎情報!$M$14</f>
        <v>0</v>
      </c>
      <c r="E90" s="500">
        <f>$D$29*基礎情報!$M$14</f>
        <v>0</v>
      </c>
      <c r="F90" s="500">
        <f>$D$29*基礎情報!$M$14</f>
        <v>0</v>
      </c>
      <c r="K90" s="337"/>
      <c r="L90" s="338"/>
      <c r="M90" s="70"/>
      <c r="N90" s="259" t="s">
        <v>112</v>
      </c>
      <c r="O90" s="510">
        <v>0</v>
      </c>
      <c r="P90" s="429">
        <f>MAX(D90:J90)*O90</f>
        <v>0</v>
      </c>
    </row>
    <row r="91" spans="2:17" ht="30" customHeight="1" thickBot="1">
      <c r="B91" s="15"/>
      <c r="C91" s="249" t="s">
        <v>113</v>
      </c>
      <c r="D91" s="425">
        <f>SUM(D90:D90)</f>
        <v>0</v>
      </c>
      <c r="E91" s="425">
        <f>SUM(E90:E90)</f>
        <v>0</v>
      </c>
      <c r="F91" s="425">
        <f>SUM(F90:F90)</f>
        <v>0</v>
      </c>
      <c r="K91" s="337"/>
      <c r="L91" s="338"/>
      <c r="M91" s="15"/>
      <c r="N91" s="249" t="s">
        <v>113</v>
      </c>
      <c r="O91" s="307"/>
      <c r="P91" s="426">
        <f>SUM(P90:P90)</f>
        <v>0</v>
      </c>
    </row>
    <row r="92" spans="2:17" ht="8.1" customHeight="1">
      <c r="K92" s="337"/>
      <c r="L92" s="338"/>
    </row>
    <row r="93" spans="2:17" ht="14.25" thickBot="1">
      <c r="B93" s="27" t="s">
        <v>107</v>
      </c>
      <c r="C93" s="29"/>
      <c r="D93" s="28"/>
      <c r="E93" s="28"/>
      <c r="F93" s="28"/>
      <c r="K93" s="337"/>
      <c r="L93" s="338"/>
      <c r="M93" s="27" t="s">
        <v>107</v>
      </c>
      <c r="N93" s="29"/>
      <c r="O93" s="279"/>
      <c r="P93" s="28"/>
      <c r="Q93" s="28"/>
    </row>
    <row r="94" spans="2:17" ht="8.1" customHeight="1">
      <c r="K94" s="337"/>
      <c r="L94" s="338"/>
    </row>
    <row r="95" spans="2:17">
      <c r="B95" s="67" t="s">
        <v>109</v>
      </c>
      <c r="C95" s="68"/>
      <c r="D95" s="68"/>
      <c r="E95" s="68"/>
      <c r="F95" s="69"/>
      <c r="K95" s="337"/>
      <c r="L95" s="338"/>
      <c r="M95" s="67" t="s">
        <v>109</v>
      </c>
      <c r="N95" s="68"/>
      <c r="O95" s="286"/>
      <c r="P95" s="69"/>
    </row>
    <row r="96" spans="2:17" ht="30" customHeight="1">
      <c r="B96" s="70"/>
      <c r="C96" s="217" t="s">
        <v>116</v>
      </c>
      <c r="D96" s="953">
        <f>現業務調査!Y45</f>
        <v>0</v>
      </c>
      <c r="E96" s="953"/>
      <c r="F96" s="953"/>
      <c r="K96" s="337"/>
      <c r="L96" s="338"/>
      <c r="M96" s="70"/>
      <c r="N96" s="217" t="s">
        <v>697</v>
      </c>
      <c r="O96" s="304"/>
      <c r="P96" s="256">
        <f>導入後効果予測!AD12</f>
        <v>0</v>
      </c>
    </row>
    <row r="97" spans="2:17" ht="30" customHeight="1">
      <c r="B97" s="70"/>
      <c r="C97" s="217" t="s">
        <v>117</v>
      </c>
      <c r="D97" s="953">
        <f>現業務調査!Y48</f>
        <v>0</v>
      </c>
      <c r="E97" s="953"/>
      <c r="F97" s="953"/>
      <c r="K97" s="337"/>
      <c r="L97" s="338"/>
      <c r="M97" s="70"/>
      <c r="N97" s="217" t="s">
        <v>117</v>
      </c>
      <c r="O97" s="304"/>
      <c r="P97" s="256">
        <f>現業務調査!Y48</f>
        <v>0</v>
      </c>
    </row>
    <row r="98" spans="2:17" ht="30" customHeight="1" thickBot="1">
      <c r="B98" s="70"/>
      <c r="C98" s="218" t="s">
        <v>604</v>
      </c>
      <c r="D98" s="497">
        <v>0</v>
      </c>
      <c r="E98" s="497">
        <v>0</v>
      </c>
      <c r="F98" s="497">
        <v>0</v>
      </c>
      <c r="K98" s="337"/>
      <c r="L98" s="338"/>
      <c r="M98" s="70"/>
      <c r="N98" s="260" t="s">
        <v>118</v>
      </c>
      <c r="O98" s="510">
        <v>0</v>
      </c>
      <c r="P98" s="285">
        <f>MAX(D98:J98)*O98</f>
        <v>0</v>
      </c>
    </row>
    <row r="99" spans="2:17" ht="30" customHeight="1">
      <c r="B99" s="70"/>
      <c r="C99" s="219" t="s">
        <v>772</v>
      </c>
      <c r="D99" s="281">
        <f>$D$96+$D$97+SUM(D98:D98)</f>
        <v>0</v>
      </c>
      <c r="E99" s="281">
        <f>$D$96+$D$97+SUM(E98:E98)</f>
        <v>0</v>
      </c>
      <c r="F99" s="281">
        <f>$D$96+$D$97+SUM(F98:F98)</f>
        <v>0</v>
      </c>
      <c r="K99" s="337"/>
      <c r="L99" s="338"/>
      <c r="M99" s="70"/>
      <c r="N99" s="219" t="s">
        <v>772</v>
      </c>
      <c r="O99" s="308"/>
      <c r="P99" s="282">
        <f>SUM(P96:P98)</f>
        <v>0</v>
      </c>
    </row>
    <row r="100" spans="2:17" ht="14.25" thickBot="1">
      <c r="B100" s="15"/>
      <c r="C100" s="270" t="s">
        <v>59</v>
      </c>
      <c r="D100" s="262">
        <f>D99*基礎情報!$Q$4</f>
        <v>0</v>
      </c>
      <c r="E100" s="262">
        <f>E99*基礎情報!$Q$4</f>
        <v>0</v>
      </c>
      <c r="F100" s="263">
        <f>F99*基礎情報!$Q$4</f>
        <v>0</v>
      </c>
      <c r="K100" s="337"/>
      <c r="L100" s="338"/>
      <c r="M100" s="15"/>
      <c r="N100" s="270" t="s">
        <v>59</v>
      </c>
      <c r="O100" s="306"/>
      <c r="P100" s="263">
        <f>P99*基礎情報!$Q$4</f>
        <v>0</v>
      </c>
    </row>
    <row r="101" spans="2:17" ht="8.1" customHeight="1">
      <c r="K101" s="337"/>
      <c r="L101" s="338"/>
    </row>
    <row r="102" spans="2:17" ht="14.25" thickBot="1">
      <c r="B102" s="27" t="s">
        <v>812</v>
      </c>
      <c r="C102" s="29"/>
      <c r="D102" s="28"/>
      <c r="E102" s="28"/>
      <c r="F102" s="28"/>
      <c r="K102" s="337"/>
      <c r="L102" s="338"/>
      <c r="M102" s="27" t="s">
        <v>812</v>
      </c>
      <c r="N102" s="29"/>
      <c r="O102" s="279"/>
      <c r="P102" s="28"/>
      <c r="Q102" s="28"/>
    </row>
    <row r="103" spans="2:17" ht="8.1" customHeight="1" thickBot="1">
      <c r="K103" s="337"/>
      <c r="L103" s="338"/>
      <c r="O103"/>
    </row>
    <row r="104" spans="2:17" ht="23.1" customHeight="1">
      <c r="C104" s="228" t="s">
        <v>62</v>
      </c>
      <c r="D104" s="284">
        <f>SUMPRODUCT($D$82:$F$82,$D$87:$F$87)</f>
        <v>0</v>
      </c>
      <c r="K104" s="337"/>
      <c r="L104" s="338"/>
      <c r="N104" s="265" t="s">
        <v>62</v>
      </c>
      <c r="O104" s="295"/>
      <c r="P104" s="309">
        <f>P87</f>
        <v>0</v>
      </c>
    </row>
    <row r="105" spans="2:17" ht="14.25" thickBot="1">
      <c r="C105" s="229" t="s">
        <v>105</v>
      </c>
      <c r="D105" s="264">
        <f>SUMPRODUCT($D$82:$F$82,$D$88:$F$88)</f>
        <v>0</v>
      </c>
      <c r="K105" s="337"/>
      <c r="L105" s="338"/>
      <c r="N105" s="312" t="s">
        <v>105</v>
      </c>
      <c r="O105" s="297"/>
      <c r="P105" s="294">
        <f>P88</f>
        <v>0</v>
      </c>
    </row>
    <row r="106" spans="2:17" ht="8.1" customHeight="1">
      <c r="C106" s="208"/>
      <c r="D106" s="207"/>
      <c r="K106" s="337"/>
      <c r="L106" s="338"/>
      <c r="N106" s="208"/>
      <c r="P106" s="207"/>
    </row>
    <row r="107" spans="2:17" ht="14.25" thickBot="1">
      <c r="B107" s="27" t="s">
        <v>793</v>
      </c>
      <c r="C107" s="29"/>
      <c r="D107" s="28"/>
      <c r="E107" s="28"/>
      <c r="F107" s="28"/>
      <c r="K107" s="337"/>
      <c r="L107" s="338"/>
      <c r="M107" s="27" t="s">
        <v>793</v>
      </c>
      <c r="N107" s="29"/>
      <c r="O107" s="279"/>
      <c r="P107" s="28"/>
      <c r="Q107" s="28"/>
    </row>
    <row r="108" spans="2:17" ht="8.1" customHeight="1" thickBot="1">
      <c r="K108" s="337"/>
      <c r="L108" s="338"/>
    </row>
    <row r="109" spans="2:17" ht="23.1" customHeight="1">
      <c r="C109" s="228" t="s">
        <v>773</v>
      </c>
      <c r="D109" s="284">
        <f>SUMPRODUCT($D$82:$F$82,$D$99:$F$99)</f>
        <v>0</v>
      </c>
      <c r="K109" s="337"/>
      <c r="L109" s="338"/>
      <c r="N109" s="265" t="s">
        <v>773</v>
      </c>
      <c r="O109" s="295"/>
      <c r="P109" s="309">
        <f>P99</f>
        <v>0</v>
      </c>
    </row>
    <row r="110" spans="2:17" ht="14.25" thickBot="1">
      <c r="C110" s="229" t="s">
        <v>774</v>
      </c>
      <c r="D110" s="264">
        <f>SUMPRODUCT($D$82:$F$82,$D$100:$F$100)</f>
        <v>0</v>
      </c>
      <c r="K110" s="337"/>
      <c r="L110" s="338"/>
      <c r="N110" s="312" t="s">
        <v>774</v>
      </c>
      <c r="O110" s="297"/>
      <c r="P110" s="294">
        <f>P100</f>
        <v>0</v>
      </c>
    </row>
    <row r="111" spans="2:17" ht="8.1" customHeight="1">
      <c r="K111" s="337"/>
      <c r="L111" s="338"/>
    </row>
    <row r="112" spans="2:17" ht="14.25" thickBot="1">
      <c r="B112" s="27" t="s">
        <v>787</v>
      </c>
      <c r="C112" s="29"/>
      <c r="D112" s="28"/>
      <c r="E112" s="28"/>
      <c r="F112" s="28"/>
      <c r="K112" s="337"/>
      <c r="L112" s="338"/>
      <c r="M112" s="27" t="s">
        <v>787</v>
      </c>
      <c r="N112" s="29"/>
      <c r="O112" s="279"/>
      <c r="P112" s="28"/>
      <c r="Q112" s="28"/>
    </row>
    <row r="113" spans="2:17" ht="8.1" customHeight="1" thickBot="1">
      <c r="K113" s="337"/>
      <c r="L113" s="338"/>
    </row>
    <row r="114" spans="2:17" ht="23.1" customHeight="1" thickBot="1">
      <c r="C114" s="227" t="s">
        <v>788</v>
      </c>
      <c r="D114" s="428">
        <f>SUMPRODUCT($D$82:$F$82,$D$91:$F$91)</f>
        <v>0</v>
      </c>
      <c r="K114" s="337"/>
      <c r="L114" s="338"/>
      <c r="N114" s="298" t="s">
        <v>788</v>
      </c>
      <c r="O114" s="299"/>
      <c r="P114" s="427">
        <f>P91</f>
        <v>0</v>
      </c>
    </row>
    <row r="115" spans="2:17" ht="8.1" customHeight="1">
      <c r="K115" s="337"/>
      <c r="L115" s="338"/>
    </row>
    <row r="116" spans="2:17" ht="14.25" thickBot="1">
      <c r="B116" s="27" t="s">
        <v>119</v>
      </c>
      <c r="C116" s="29"/>
      <c r="D116" s="28"/>
      <c r="E116" s="28"/>
      <c r="F116" s="28"/>
      <c r="K116" s="337"/>
      <c r="L116" s="338"/>
      <c r="M116" s="27" t="s">
        <v>119</v>
      </c>
      <c r="N116" s="29"/>
      <c r="O116" s="279"/>
      <c r="P116" s="28"/>
      <c r="Q116" s="28"/>
    </row>
    <row r="117" spans="2:17" ht="8.1" customHeight="1" thickBot="1">
      <c r="K117" s="337"/>
      <c r="L117" s="338"/>
    </row>
    <row r="118" spans="2:17" ht="23.1" customHeight="1">
      <c r="C118" s="222" t="s">
        <v>775</v>
      </c>
      <c r="D118" s="224">
        <f>業務書類量調査!$U$19</f>
        <v>2400</v>
      </c>
      <c r="K118" s="337"/>
      <c r="L118" s="338"/>
      <c r="N118" s="11" t="s">
        <v>775</v>
      </c>
      <c r="O118" s="295"/>
      <c r="P118" s="310">
        <f>業務書類量調査!$U$19</f>
        <v>2400</v>
      </c>
    </row>
    <row r="119" spans="2:17" ht="23.1" customHeight="1" thickBot="1">
      <c r="C119" s="223" t="s">
        <v>789</v>
      </c>
      <c r="D119" s="225">
        <f>業務書類量調査!$U$25</f>
        <v>7200</v>
      </c>
      <c r="K119" s="337"/>
      <c r="L119" s="338"/>
      <c r="N119" s="155" t="s">
        <v>789</v>
      </c>
      <c r="O119" s="297"/>
      <c r="P119" s="311">
        <f>業務書類量調査!$U$25</f>
        <v>7200</v>
      </c>
    </row>
    <row r="120" spans="2:17" ht="8.1" customHeight="1" thickBot="1">
      <c r="K120" s="337"/>
      <c r="L120" s="338"/>
    </row>
    <row r="121" spans="2:17" ht="23.1" customHeight="1">
      <c r="C121" s="222" t="s">
        <v>207</v>
      </c>
      <c r="D121" s="242">
        <f>$D$119*D82</f>
        <v>0</v>
      </c>
      <c r="E121" s="242">
        <f>$D$119*E82</f>
        <v>0</v>
      </c>
      <c r="F121" s="243">
        <f>$D$119*F82</f>
        <v>7200</v>
      </c>
      <c r="K121" s="337"/>
      <c r="L121" s="338"/>
    </row>
    <row r="122" spans="2:17" ht="23.1" customHeight="1">
      <c r="C122" s="226" t="s">
        <v>427</v>
      </c>
      <c r="D122" s="562">
        <f>(D99*$D$118*D82)+(D87*$D$119*D82)</f>
        <v>0</v>
      </c>
      <c r="E122" s="562">
        <f>(E99*$D$118*E82)+(E87*$D$119*E82)</f>
        <v>0</v>
      </c>
      <c r="F122" s="563">
        <f>(F99*$D$118*F82)+(F87*$D$119*F82)</f>
        <v>0</v>
      </c>
      <c r="K122" s="337"/>
      <c r="L122" s="338"/>
    </row>
    <row r="123" spans="2:17" s="543" customFormat="1" ht="23.1" hidden="1" customHeight="1" outlineLevel="1">
      <c r="C123" s="540" t="s">
        <v>825</v>
      </c>
      <c r="D123" s="541">
        <f>INT(D122/(60*基礎情報!$J$5))</f>
        <v>0</v>
      </c>
      <c r="E123" s="541">
        <f>INT(E122/(60*基礎情報!$J$5))</f>
        <v>0</v>
      </c>
      <c r="F123" s="542">
        <f>INT(F122/(60*基礎情報!$J$5))</f>
        <v>0</v>
      </c>
      <c r="K123" s="544"/>
      <c r="L123" s="545"/>
      <c r="O123" s="546"/>
    </row>
    <row r="124" spans="2:17" s="543" customFormat="1" ht="23.1" hidden="1" customHeight="1" outlineLevel="1">
      <c r="C124" s="540" t="s">
        <v>428</v>
      </c>
      <c r="D124" s="541">
        <f>INT(D122/60-8*D123)</f>
        <v>0</v>
      </c>
      <c r="E124" s="541">
        <f>INT(E122/60-8*E123)</f>
        <v>0</v>
      </c>
      <c r="F124" s="542">
        <f>INT(F122/60-8*F123)</f>
        <v>0</v>
      </c>
      <c r="K124" s="544"/>
      <c r="L124" s="545"/>
      <c r="O124" s="546"/>
    </row>
    <row r="125" spans="2:17" s="543" customFormat="1" ht="23.1" hidden="1" customHeight="1" outlineLevel="1">
      <c r="C125" s="540" t="s">
        <v>523</v>
      </c>
      <c r="D125" s="541">
        <f>ROUND(MOD(D122,60),0)</f>
        <v>0</v>
      </c>
      <c r="E125" s="541">
        <f>ROUND(MOD(E122,60),0)</f>
        <v>0</v>
      </c>
      <c r="F125" s="542">
        <f>ROUND(MOD(F122,60),0)</f>
        <v>0</v>
      </c>
      <c r="K125" s="544"/>
      <c r="L125" s="545"/>
      <c r="O125" s="546"/>
    </row>
    <row r="126" spans="2:17" ht="23.1" customHeight="1" collapsed="1">
      <c r="C126" s="226" t="s">
        <v>428</v>
      </c>
      <c r="D126" s="231" t="str">
        <f>IF(D123=0,"",D123&amp;"日")&amp;IF(D124=0,"",D124&amp;"時間")&amp;D125&amp;"分"</f>
        <v>0分</v>
      </c>
      <c r="E126" s="231" t="str">
        <f>IF(E123=0,"",E123&amp;"日")&amp;IF(E124=0,"",E124&amp;"時間")&amp;E125&amp;"分"</f>
        <v>0分</v>
      </c>
      <c r="F126" s="232" t="str">
        <f>IF(F123=0,"",F123&amp;"日")&amp;IF(F124=0,"",F124&amp;"時間")&amp;F125&amp;"分"</f>
        <v>0分</v>
      </c>
      <c r="K126" s="337"/>
      <c r="L126" s="338"/>
    </row>
    <row r="127" spans="2:17" ht="23.1" customHeight="1">
      <c r="C127" s="226" t="s">
        <v>425</v>
      </c>
      <c r="D127" s="246">
        <f>D122*基礎情報!$Q$4</f>
        <v>0</v>
      </c>
      <c r="E127" s="246">
        <f>E122*基礎情報!$Q$4</f>
        <v>0</v>
      </c>
      <c r="F127" s="247">
        <f>F122*基礎情報!$Q$4</f>
        <v>0</v>
      </c>
      <c r="K127" s="337"/>
      <c r="L127" s="338"/>
    </row>
    <row r="128" spans="2:17" ht="23.1" customHeight="1">
      <c r="C128" s="226" t="s">
        <v>426</v>
      </c>
      <c r="D128" s="246">
        <f>D121*D91</f>
        <v>0</v>
      </c>
      <c r="E128" s="246">
        <f>E121*E91</f>
        <v>0</v>
      </c>
      <c r="F128" s="247">
        <f>F121*F91</f>
        <v>0</v>
      </c>
      <c r="K128" s="337"/>
      <c r="L128" s="338"/>
    </row>
    <row r="129" spans="2:17" ht="23.1" customHeight="1" thickBot="1">
      <c r="C129" s="223" t="s">
        <v>429</v>
      </c>
      <c r="D129" s="248">
        <f>SUM(D127:D128)</f>
        <v>0</v>
      </c>
      <c r="E129" s="248">
        <f>SUM(E127:E128)</f>
        <v>0</v>
      </c>
      <c r="F129" s="230">
        <f>SUM(F127:F128)</f>
        <v>0</v>
      </c>
      <c r="K129" s="337"/>
      <c r="L129" s="338"/>
    </row>
    <row r="130" spans="2:17" ht="8.1" customHeight="1">
      <c r="K130" s="337"/>
      <c r="L130" s="338"/>
    </row>
    <row r="131" spans="2:17" ht="14.25" thickBot="1">
      <c r="B131" s="27" t="s">
        <v>58</v>
      </c>
      <c r="C131" s="29"/>
      <c r="D131" s="28"/>
      <c r="E131" s="28"/>
      <c r="F131" s="28"/>
      <c r="K131" s="337"/>
      <c r="L131" s="338"/>
    </row>
    <row r="132" spans="2:17" ht="8.1" customHeight="1" thickBot="1">
      <c r="K132" s="337"/>
      <c r="L132" s="338"/>
    </row>
    <row r="133" spans="2:17" ht="23.1" customHeight="1">
      <c r="C133" s="233" t="s">
        <v>207</v>
      </c>
      <c r="D133" s="236">
        <f>SUM(D121:F121)</f>
        <v>7200</v>
      </c>
      <c r="K133" s="337"/>
      <c r="L133" s="338"/>
      <c r="N133" s="300" t="s">
        <v>207</v>
      </c>
      <c r="O133" s="295"/>
      <c r="P133" s="313">
        <f>P119</f>
        <v>7200</v>
      </c>
    </row>
    <row r="134" spans="2:17" ht="23.1" customHeight="1">
      <c r="C134" s="234" t="s">
        <v>427</v>
      </c>
      <c r="D134" s="561">
        <f>SUM(D122:F122)</f>
        <v>0</v>
      </c>
      <c r="K134" s="337"/>
      <c r="L134" s="338"/>
      <c r="N134" s="301" t="s">
        <v>427</v>
      </c>
      <c r="O134" s="302"/>
      <c r="P134" s="560">
        <f>(P104*P133)+(P109*P118)</f>
        <v>0</v>
      </c>
    </row>
    <row r="135" spans="2:17" s="543" customFormat="1" ht="23.1" hidden="1" customHeight="1" outlineLevel="2">
      <c r="C135" s="553" t="s">
        <v>825</v>
      </c>
      <c r="D135" s="556">
        <f>INT(D134/(60*基礎情報!$J$5))</f>
        <v>0</v>
      </c>
      <c r="K135" s="544"/>
      <c r="L135" s="545"/>
      <c r="N135" s="554" t="s">
        <v>826</v>
      </c>
      <c r="O135" s="555"/>
      <c r="P135" s="558">
        <f>INT(P134/(60*基礎情報!$J$5))</f>
        <v>0</v>
      </c>
    </row>
    <row r="136" spans="2:17" s="543" customFormat="1" ht="23.1" hidden="1" customHeight="1" outlineLevel="2">
      <c r="C136" s="553" t="s">
        <v>428</v>
      </c>
      <c r="D136" s="556">
        <f>INT(D134/60-8*D135)</f>
        <v>0</v>
      </c>
      <c r="K136" s="544"/>
      <c r="L136" s="545"/>
      <c r="N136" s="554" t="s">
        <v>827</v>
      </c>
      <c r="O136" s="555"/>
      <c r="P136" s="558">
        <f>INT(P134/60-8*P135)</f>
        <v>0</v>
      </c>
    </row>
    <row r="137" spans="2:17" s="543" customFormat="1" ht="23.1" hidden="1" customHeight="1" outlineLevel="2">
      <c r="C137" s="553" t="s">
        <v>523</v>
      </c>
      <c r="D137" s="556">
        <f>ROUND(MOD(D134,60),0)</f>
        <v>0</v>
      </c>
      <c r="K137" s="544"/>
      <c r="L137" s="545"/>
      <c r="N137" s="554" t="s">
        <v>828</v>
      </c>
      <c r="O137" s="555"/>
      <c r="P137" s="558">
        <f>ROUND(MOD(P134,60),0)</f>
        <v>0</v>
      </c>
    </row>
    <row r="138" spans="2:17" ht="23.1" customHeight="1" collapsed="1">
      <c r="C138" s="234" t="s">
        <v>428</v>
      </c>
      <c r="D138" s="238" t="str">
        <f>IF(D132=0,"",D132&amp;"日")&amp;IF(D133=0,"",D133&amp;"時間")&amp;D134&amp;"分"</f>
        <v>7200時間0分</v>
      </c>
      <c r="E138" s="50" t="e">
        <f>"※見積担当者が "&amp;基礎情報!$J$7&amp;" 人の場合、1人当たり見積比較にかかる人日は、約 "&amp;ROUNDUP((D134/12)/基礎情報!$J$7/60/基礎情報!$J$5,1)&amp;" 人日"</f>
        <v>#DIV/0!</v>
      </c>
      <c r="K138" s="337"/>
      <c r="L138" s="338"/>
      <c r="N138" s="301" t="s">
        <v>428</v>
      </c>
      <c r="O138" s="302"/>
      <c r="P138" s="550" t="str">
        <f>IF(P135=0,"",P135&amp;"日")&amp;IF(P136=0,"",P136&amp;"時間")&amp;P137&amp;"分"</f>
        <v>0分</v>
      </c>
      <c r="Q138" s="50" t="e">
        <f>"※見積担当者が "&amp;基礎情報!$J$7&amp;" 人の場合、1人当たり見積比較にかかる人日は、約 "&amp;ROUNDUP((P134/12)/基礎情報!$J$7/60/基礎情報!$J$5,1)&amp;" 人日"</f>
        <v>#DIV/0!</v>
      </c>
    </row>
    <row r="139" spans="2:17" ht="23.1" customHeight="1">
      <c r="C139" s="234" t="s">
        <v>425</v>
      </c>
      <c r="D139" s="241">
        <f>SUM(D127:F127)</f>
        <v>0</v>
      </c>
      <c r="K139" s="337"/>
      <c r="L139" s="338"/>
      <c r="N139" s="301" t="s">
        <v>425</v>
      </c>
      <c r="O139" s="302"/>
      <c r="P139" s="315">
        <f>P134*基礎情報!$Q$4</f>
        <v>0</v>
      </c>
    </row>
    <row r="140" spans="2:17" ht="23.1" customHeight="1">
      <c r="C140" s="234" t="s">
        <v>426</v>
      </c>
      <c r="D140" s="239">
        <f>SUM(D128:F128)</f>
        <v>0</v>
      </c>
      <c r="K140" s="337"/>
      <c r="L140" s="338"/>
      <c r="N140" s="301" t="s">
        <v>426</v>
      </c>
      <c r="O140" s="302"/>
      <c r="P140" s="316">
        <f>P114*P133</f>
        <v>0</v>
      </c>
    </row>
    <row r="141" spans="2:17" ht="23.1" customHeight="1" thickBot="1">
      <c r="C141" s="235" t="s">
        <v>429</v>
      </c>
      <c r="D141" s="240">
        <f>SUM(D129:F129)</f>
        <v>0</v>
      </c>
      <c r="K141" s="337"/>
      <c r="L141" s="338"/>
      <c r="N141" s="303" t="s">
        <v>429</v>
      </c>
      <c r="O141" s="297"/>
      <c r="P141" s="317">
        <f>SUM(P139:P140)</f>
        <v>0</v>
      </c>
    </row>
    <row r="142" spans="2:17" ht="8.1" customHeight="1">
      <c r="K142" s="337"/>
      <c r="L142" s="338"/>
    </row>
    <row r="143" spans="2:17" ht="17.25">
      <c r="B143" s="947" t="s">
        <v>120</v>
      </c>
      <c r="C143" s="948"/>
      <c r="D143" s="948"/>
      <c r="E143" s="948"/>
      <c r="F143" s="948"/>
      <c r="G143" s="948"/>
      <c r="H143" s="948"/>
      <c r="I143" s="948"/>
      <c r="J143" s="949"/>
      <c r="K143" s="337"/>
      <c r="L143" s="338"/>
      <c r="M143" s="947" t="s">
        <v>120</v>
      </c>
      <c r="N143" s="948"/>
      <c r="O143" s="948"/>
      <c r="P143" s="948"/>
      <c r="Q143" s="949"/>
    </row>
    <row r="144" spans="2:17" ht="8.1" customHeight="1">
      <c r="K144" s="337"/>
      <c r="L144" s="338"/>
      <c r="O144"/>
    </row>
    <row r="145" spans="2:17" ht="14.25" thickBot="1">
      <c r="B145" s="27" t="s">
        <v>3</v>
      </c>
      <c r="C145" s="29"/>
      <c r="D145" s="28"/>
      <c r="E145" s="28"/>
      <c r="F145" s="28"/>
      <c r="K145" s="337"/>
      <c r="L145" s="338"/>
      <c r="M145" s="27" t="s">
        <v>3</v>
      </c>
      <c r="N145" s="29"/>
      <c r="O145" s="28"/>
      <c r="P145" s="28"/>
      <c r="Q145" s="28"/>
    </row>
    <row r="146" spans="2:17" ht="8.1" customHeight="1">
      <c r="K146" s="337"/>
      <c r="L146" s="338"/>
    </row>
    <row r="147" spans="2:17" ht="27">
      <c r="B147" s="280" t="s">
        <v>524</v>
      </c>
      <c r="C147" s="252"/>
      <c r="D147" s="211" t="s">
        <v>57</v>
      </c>
      <c r="E147" s="211" t="s">
        <v>200</v>
      </c>
      <c r="F147" s="211" t="s">
        <v>201</v>
      </c>
      <c r="G147" s="211" t="s">
        <v>376</v>
      </c>
      <c r="K147" s="337"/>
      <c r="L147" s="338"/>
      <c r="M147" s="280" t="s">
        <v>524</v>
      </c>
      <c r="N147" s="252"/>
      <c r="O147" s="950" t="s">
        <v>163</v>
      </c>
      <c r="P147" s="210" t="s">
        <v>686</v>
      </c>
    </row>
    <row r="148" spans="2:17">
      <c r="B148" s="253"/>
      <c r="C148" s="254" t="s">
        <v>424</v>
      </c>
      <c r="D148" s="215">
        <f>現業務調査!Y88</f>
        <v>1</v>
      </c>
      <c r="E148" s="215">
        <f>現業務調査!Y89</f>
        <v>0</v>
      </c>
      <c r="F148" s="215">
        <f>現業務調査!Y90</f>
        <v>0</v>
      </c>
      <c r="G148" s="215">
        <f>現業務調査!Y91</f>
        <v>0</v>
      </c>
      <c r="K148" s="337"/>
      <c r="L148" s="338"/>
      <c r="M148" s="253"/>
      <c r="N148" s="254"/>
      <c r="O148" s="952"/>
      <c r="P148" s="215"/>
    </row>
    <row r="149" spans="2:17" ht="8.1" customHeight="1">
      <c r="D149" s="127"/>
      <c r="E149" s="127"/>
      <c r="F149" s="127"/>
      <c r="K149" s="337"/>
      <c r="L149" s="338"/>
    </row>
    <row r="150" spans="2:17">
      <c r="B150" s="67" t="s">
        <v>109</v>
      </c>
      <c r="C150" s="68"/>
      <c r="D150" s="68"/>
      <c r="E150" s="68"/>
      <c r="F150" s="68"/>
      <c r="G150" s="69"/>
      <c r="K150" s="337"/>
      <c r="L150" s="338"/>
      <c r="M150" s="67" t="s">
        <v>109</v>
      </c>
      <c r="N150" s="68"/>
      <c r="O150" s="286"/>
      <c r="P150" s="69"/>
    </row>
    <row r="151" spans="2:17" ht="27">
      <c r="B151" s="70"/>
      <c r="C151" s="217" t="s">
        <v>122</v>
      </c>
      <c r="D151" s="953">
        <f>現業務調査!S70</f>
        <v>30</v>
      </c>
      <c r="E151" s="953"/>
      <c r="F151" s="953"/>
      <c r="G151" s="953"/>
      <c r="K151" s="337"/>
      <c r="L151" s="338"/>
      <c r="M151" s="70"/>
      <c r="N151" s="217" t="s">
        <v>122</v>
      </c>
      <c r="O151" s="509">
        <v>1</v>
      </c>
      <c r="P151" s="285">
        <f>MAX(D151:J151)*O151</f>
        <v>30</v>
      </c>
    </row>
    <row r="152" spans="2:17" ht="27">
      <c r="B152" s="70"/>
      <c r="C152" s="216" t="s">
        <v>607</v>
      </c>
      <c r="D152" s="496">
        <v>0</v>
      </c>
      <c r="E152" s="496">
        <v>0</v>
      </c>
      <c r="F152" s="496">
        <v>0</v>
      </c>
      <c r="G152" s="496">
        <v>0</v>
      </c>
      <c r="K152" s="337"/>
      <c r="L152" s="338"/>
      <c r="M152" s="70"/>
      <c r="N152" s="216" t="s">
        <v>29</v>
      </c>
      <c r="O152" s="509">
        <v>0.5</v>
      </c>
      <c r="P152" s="285">
        <f>MAX(D152:J152)*O152</f>
        <v>0</v>
      </c>
    </row>
    <row r="153" spans="2:17" ht="27">
      <c r="B153" s="70"/>
      <c r="C153" s="217" t="s">
        <v>195</v>
      </c>
      <c r="D153" s="953">
        <f>現業務調査!S84</f>
        <v>30</v>
      </c>
      <c r="E153" s="953"/>
      <c r="F153" s="953"/>
      <c r="G153" s="953"/>
      <c r="K153" s="337"/>
      <c r="L153" s="338"/>
      <c r="M153" s="70"/>
      <c r="N153" s="217" t="s">
        <v>195</v>
      </c>
      <c r="O153" s="304"/>
      <c r="P153" s="256">
        <f>導入後効果予測!AD18</f>
        <v>15</v>
      </c>
    </row>
    <row r="154" spans="2:17" ht="27">
      <c r="B154" s="70"/>
      <c r="C154" s="216" t="s">
        <v>197</v>
      </c>
      <c r="D154" s="496">
        <v>0</v>
      </c>
      <c r="E154" s="496">
        <v>0</v>
      </c>
      <c r="F154" s="496">
        <v>0</v>
      </c>
      <c r="G154" s="496">
        <v>0</v>
      </c>
      <c r="K154" s="337"/>
      <c r="L154" s="338"/>
      <c r="M154" s="70"/>
      <c r="N154" s="216" t="s">
        <v>197</v>
      </c>
      <c r="O154" s="509">
        <v>0.5</v>
      </c>
      <c r="P154" s="285">
        <f>MAX(D154:J154)*O154</f>
        <v>0</v>
      </c>
    </row>
    <row r="155" spans="2:17" ht="27">
      <c r="B155" s="70"/>
      <c r="C155" s="216" t="s">
        <v>605</v>
      </c>
      <c r="D155" s="496">
        <v>0</v>
      </c>
      <c r="E155" s="496">
        <v>0</v>
      </c>
      <c r="F155" s="496">
        <v>0</v>
      </c>
      <c r="G155" s="496">
        <v>0</v>
      </c>
      <c r="K155" s="337"/>
      <c r="L155" s="338"/>
      <c r="M155" s="70"/>
      <c r="N155" s="216" t="s">
        <v>198</v>
      </c>
      <c r="O155" s="509">
        <v>0</v>
      </c>
      <c r="P155" s="285">
        <f>MAX(D155:J155)*O155</f>
        <v>0</v>
      </c>
    </row>
    <row r="156" spans="2:17" ht="27">
      <c r="B156" s="70"/>
      <c r="C156" s="216" t="s">
        <v>606</v>
      </c>
      <c r="D156" s="496">
        <v>0</v>
      </c>
      <c r="E156" s="496">
        <v>0</v>
      </c>
      <c r="F156" s="496">
        <v>0</v>
      </c>
      <c r="G156" s="496">
        <v>0</v>
      </c>
      <c r="K156" s="337"/>
      <c r="L156" s="338"/>
      <c r="M156" s="70"/>
      <c r="N156" s="216" t="s">
        <v>199</v>
      </c>
      <c r="O156" s="509">
        <v>0</v>
      </c>
      <c r="P156" s="256">
        <f>MAX(D156:J156)*O156</f>
        <v>0</v>
      </c>
    </row>
    <row r="157" spans="2:17" ht="27.75" thickBot="1">
      <c r="B157" s="70"/>
      <c r="C157" s="218" t="s">
        <v>196</v>
      </c>
      <c r="D157" s="497"/>
      <c r="E157" s="497">
        <v>45</v>
      </c>
      <c r="F157" s="497"/>
      <c r="G157" s="497"/>
      <c r="K157" s="337"/>
      <c r="L157" s="338"/>
      <c r="M157" s="70"/>
      <c r="N157" s="260" t="s">
        <v>196</v>
      </c>
      <c r="O157" s="510">
        <v>0</v>
      </c>
      <c r="P157" s="285">
        <f>MAX(D157:J157)*O157</f>
        <v>0</v>
      </c>
    </row>
    <row r="158" spans="2:17" ht="30" customHeight="1">
      <c r="B158" s="70"/>
      <c r="C158" s="219" t="s">
        <v>22</v>
      </c>
      <c r="D158" s="281">
        <f>$D$151+$D$153+D152+SUM(D154:D157)</f>
        <v>60</v>
      </c>
      <c r="E158" s="281">
        <f>$D$151+$D$153+E152+SUM(E154:E157)</f>
        <v>105</v>
      </c>
      <c r="F158" s="281">
        <f>$D$151+$D$153+F152+SUM(F154:F157)</f>
        <v>60</v>
      </c>
      <c r="G158" s="281">
        <f>$D$151+$D$153+G152+SUM(G154:G157)</f>
        <v>60</v>
      </c>
      <c r="K158" s="337"/>
      <c r="L158" s="338"/>
      <c r="M158" s="70"/>
      <c r="N158" s="219" t="s">
        <v>22</v>
      </c>
      <c r="O158" s="308"/>
      <c r="P158" s="282">
        <f>SUM(P151:P157)</f>
        <v>45</v>
      </c>
    </row>
    <row r="159" spans="2:17" ht="14.25" thickBot="1">
      <c r="B159" s="15"/>
      <c r="C159" s="270" t="s">
        <v>300</v>
      </c>
      <c r="D159" s="262">
        <f>D158*基礎情報!$Q$4</f>
        <v>3000</v>
      </c>
      <c r="E159" s="262">
        <f>E158*基礎情報!$Q$4</f>
        <v>5250</v>
      </c>
      <c r="F159" s="262">
        <f>F158*基礎情報!$Q$4</f>
        <v>3000</v>
      </c>
      <c r="G159" s="263">
        <f>G158*基礎情報!$Q$4</f>
        <v>3000</v>
      </c>
      <c r="K159" s="337"/>
      <c r="L159" s="338"/>
      <c r="M159" s="15"/>
      <c r="N159" s="270" t="s">
        <v>300</v>
      </c>
      <c r="O159" s="306"/>
      <c r="P159" s="263">
        <f>P158*基礎情報!$Q$4</f>
        <v>2250</v>
      </c>
    </row>
    <row r="160" spans="2:17">
      <c r="B160" s="67" t="s">
        <v>426</v>
      </c>
      <c r="C160" s="38"/>
      <c r="D160" s="38"/>
      <c r="E160" s="38"/>
      <c r="F160" s="38"/>
      <c r="G160" s="71"/>
      <c r="K160" s="337"/>
      <c r="L160" s="338"/>
      <c r="M160" s="67" t="s">
        <v>426</v>
      </c>
      <c r="N160" s="38"/>
      <c r="O160" s="277"/>
      <c r="P160" s="71"/>
    </row>
    <row r="161" spans="2:17" ht="40.5">
      <c r="B161" s="70"/>
      <c r="C161" s="217" t="s">
        <v>6</v>
      </c>
      <c r="D161" s="955">
        <f>SUM(現業務調査!Y96:Y98)</f>
        <v>3</v>
      </c>
      <c r="E161" s="955"/>
      <c r="F161" s="955"/>
      <c r="G161" s="955"/>
      <c r="K161" s="337"/>
      <c r="L161" s="338"/>
      <c r="M161" s="70"/>
      <c r="N161" s="217" t="s">
        <v>6</v>
      </c>
      <c r="O161" s="509">
        <v>1</v>
      </c>
      <c r="P161" s="255">
        <f>MAX(D161:J161)*O161</f>
        <v>3</v>
      </c>
    </row>
    <row r="162" spans="2:17" ht="30" customHeight="1">
      <c r="B162" s="70"/>
      <c r="C162" s="220" t="s">
        <v>4</v>
      </c>
      <c r="D162" s="499">
        <f>$D$161*基礎情報!$M$14</f>
        <v>7.8000000000000007</v>
      </c>
      <c r="E162" s="499">
        <f>$D$161*基礎情報!$M$14</f>
        <v>7.8000000000000007</v>
      </c>
      <c r="F162" s="499">
        <f>$D$161*基礎情報!$M$14</f>
        <v>7.8000000000000007</v>
      </c>
      <c r="G162" s="499">
        <f>$D$161*基礎情報!$M$14</f>
        <v>7.8000000000000007</v>
      </c>
      <c r="K162" s="337"/>
      <c r="L162" s="338"/>
      <c r="M162" s="70"/>
      <c r="N162" s="220" t="s">
        <v>4</v>
      </c>
      <c r="O162" s="509">
        <v>0</v>
      </c>
      <c r="P162" s="424">
        <f>MAX(D162:J162)*O162</f>
        <v>0</v>
      </c>
    </row>
    <row r="163" spans="2:17" ht="30" customHeight="1">
      <c r="B163" s="70"/>
      <c r="C163" s="220" t="s">
        <v>5</v>
      </c>
      <c r="D163" s="499">
        <f>$D$161*基礎情報!$M$14</f>
        <v>7.8000000000000007</v>
      </c>
      <c r="E163" s="499">
        <f>$D$161*基礎情報!$M$14</f>
        <v>7.8000000000000007</v>
      </c>
      <c r="F163" s="499">
        <f>$D$161*基礎情報!$M$14</f>
        <v>7.8000000000000007</v>
      </c>
      <c r="G163" s="499">
        <f>$D$161*基礎情報!$M$14</f>
        <v>7.8000000000000007</v>
      </c>
      <c r="K163" s="337"/>
      <c r="L163" s="338"/>
      <c r="M163" s="70"/>
      <c r="N163" s="220" t="s">
        <v>5</v>
      </c>
      <c r="O163" s="509">
        <v>0</v>
      </c>
      <c r="P163" s="424">
        <f>MAX(D163:J163)*O163</f>
        <v>0</v>
      </c>
    </row>
    <row r="164" spans="2:17" ht="30" customHeight="1">
      <c r="B164" s="70"/>
      <c r="C164" s="220" t="s">
        <v>785</v>
      </c>
      <c r="D164" s="499">
        <f>基礎情報!$M$11</f>
        <v>105</v>
      </c>
      <c r="E164" s="499"/>
      <c r="F164" s="499"/>
      <c r="G164" s="499"/>
      <c r="K164" s="337"/>
      <c r="L164" s="338"/>
      <c r="M164" s="70"/>
      <c r="N164" s="220" t="s">
        <v>785</v>
      </c>
      <c r="O164" s="509">
        <v>0</v>
      </c>
      <c r="P164" s="424">
        <f>MAX(D164:J164)*O164</f>
        <v>0</v>
      </c>
    </row>
    <row r="165" spans="2:17" ht="30" customHeight="1" thickBot="1">
      <c r="B165" s="70"/>
      <c r="C165" s="221" t="s">
        <v>786</v>
      </c>
      <c r="D165" s="500"/>
      <c r="E165" s="500">
        <f>基礎情報!$M$9</f>
        <v>0</v>
      </c>
      <c r="F165" s="500"/>
      <c r="G165" s="500"/>
      <c r="K165" s="337"/>
      <c r="L165" s="338"/>
      <c r="M165" s="70"/>
      <c r="N165" s="259" t="s">
        <v>786</v>
      </c>
      <c r="O165" s="510">
        <v>0</v>
      </c>
      <c r="P165" s="429">
        <f>MAX(D165:J165)*O165</f>
        <v>0</v>
      </c>
    </row>
    <row r="166" spans="2:17" ht="30" customHeight="1" thickBot="1">
      <c r="B166" s="15"/>
      <c r="C166" s="249" t="s">
        <v>23</v>
      </c>
      <c r="D166" s="425">
        <f>SUM(D162:D165)</f>
        <v>120.6</v>
      </c>
      <c r="E166" s="425">
        <f>SUM(E162:E165)</f>
        <v>15.600000000000001</v>
      </c>
      <c r="F166" s="425">
        <f>SUM(F162:F165)</f>
        <v>15.600000000000001</v>
      </c>
      <c r="G166" s="425">
        <f>SUM(G162:G165)</f>
        <v>15.600000000000001</v>
      </c>
      <c r="K166" s="337"/>
      <c r="L166" s="338"/>
      <c r="M166" s="15"/>
      <c r="N166" s="249" t="s">
        <v>23</v>
      </c>
      <c r="O166" s="307"/>
      <c r="P166" s="426">
        <f>SUM(P162:P165)</f>
        <v>0</v>
      </c>
    </row>
    <row r="167" spans="2:17" ht="8.1" customHeight="1">
      <c r="K167" s="337"/>
      <c r="L167" s="338"/>
    </row>
    <row r="168" spans="2:17" ht="14.25" thickBot="1">
      <c r="B168" s="27" t="s">
        <v>822</v>
      </c>
      <c r="C168" s="29"/>
      <c r="D168" s="28"/>
      <c r="E168" s="28"/>
      <c r="F168" s="28"/>
      <c r="K168" s="337"/>
      <c r="L168" s="338"/>
      <c r="M168" s="27" t="s">
        <v>822</v>
      </c>
      <c r="N168" s="29"/>
      <c r="O168" s="279"/>
      <c r="P168" s="28"/>
      <c r="Q168" s="28"/>
    </row>
    <row r="169" spans="2:17" ht="8.1" customHeight="1" thickBot="1">
      <c r="K169" s="337"/>
      <c r="L169" s="338"/>
      <c r="O169"/>
    </row>
    <row r="170" spans="2:17" ht="23.1" customHeight="1">
      <c r="C170" s="228" t="s">
        <v>0</v>
      </c>
      <c r="D170" s="284">
        <f>SUMPRODUCT($D$148:$G$148,$D$158:$G$158)</f>
        <v>60</v>
      </c>
      <c r="K170" s="337"/>
      <c r="L170" s="338"/>
      <c r="N170" s="265" t="s">
        <v>0</v>
      </c>
      <c r="O170" s="547"/>
      <c r="P170" s="284">
        <f>P158</f>
        <v>45</v>
      </c>
    </row>
    <row r="171" spans="2:17" ht="14.25" thickBot="1">
      <c r="C171" s="229" t="s">
        <v>1</v>
      </c>
      <c r="D171" s="269">
        <f>SUMPRODUCT($D$148:$G$148,$D$159:$G$159)</f>
        <v>3000</v>
      </c>
      <c r="K171" s="337"/>
      <c r="L171" s="338"/>
      <c r="N171" s="312" t="s">
        <v>1</v>
      </c>
      <c r="O171" s="549"/>
      <c r="P171" s="269">
        <f>SUMPRODUCT($D$148:$G$148,$D$159:$G$159)</f>
        <v>3000</v>
      </c>
    </row>
    <row r="172" spans="2:17" ht="8.1" customHeight="1">
      <c r="C172" s="208"/>
      <c r="D172" s="207"/>
      <c r="K172" s="337"/>
      <c r="L172" s="338"/>
      <c r="N172" s="208"/>
      <c r="P172" s="207"/>
    </row>
    <row r="173" spans="2:17" ht="14.25" thickBot="1">
      <c r="B173" s="27" t="s">
        <v>823</v>
      </c>
      <c r="C173" s="29"/>
      <c r="D173" s="28"/>
      <c r="E173" s="28"/>
      <c r="F173" s="28"/>
      <c r="K173" s="337"/>
      <c r="L173" s="338"/>
      <c r="M173" s="27" t="s">
        <v>823</v>
      </c>
      <c r="N173" s="29"/>
      <c r="O173" s="279"/>
      <c r="P173" s="28"/>
      <c r="Q173" s="28"/>
    </row>
    <row r="174" spans="2:17" ht="8.1" customHeight="1" thickBot="1">
      <c r="K174" s="337"/>
      <c r="L174" s="338"/>
    </row>
    <row r="175" spans="2:17" ht="23.1" customHeight="1" thickBot="1">
      <c r="C175" s="227" t="s">
        <v>2</v>
      </c>
      <c r="D175" s="428">
        <f>SUMPRODUCT($D$148:$G$148,$D$166:$G$166)</f>
        <v>120.6</v>
      </c>
      <c r="K175" s="337"/>
      <c r="L175" s="338"/>
      <c r="N175" s="298" t="s">
        <v>2</v>
      </c>
      <c r="O175" s="552"/>
      <c r="P175" s="428">
        <f>P166</f>
        <v>0</v>
      </c>
    </row>
    <row r="176" spans="2:17" ht="8.1" customHeight="1">
      <c r="K176" s="337"/>
      <c r="L176" s="338"/>
    </row>
    <row r="177" spans="2:17" ht="14.25" thickBot="1">
      <c r="B177" s="27" t="s">
        <v>820</v>
      </c>
      <c r="C177" s="29"/>
      <c r="D177" s="28"/>
      <c r="E177" s="28"/>
      <c r="F177" s="28"/>
      <c r="K177" s="337"/>
      <c r="L177" s="338"/>
      <c r="M177" s="27" t="s">
        <v>820</v>
      </c>
      <c r="N177" s="29"/>
      <c r="O177" s="279"/>
      <c r="P177" s="28"/>
      <c r="Q177" s="28"/>
    </row>
    <row r="178" spans="2:17" ht="8.1" customHeight="1" thickBot="1">
      <c r="K178" s="337"/>
      <c r="L178" s="338"/>
    </row>
    <row r="179" spans="2:17" ht="23.1" customHeight="1" thickBot="1">
      <c r="C179" s="250" t="s">
        <v>775</v>
      </c>
      <c r="D179" s="251">
        <f>業務書類量調査!$U$19</f>
        <v>2400</v>
      </c>
      <c r="K179" s="337"/>
      <c r="L179" s="338"/>
      <c r="N179" s="320" t="s">
        <v>775</v>
      </c>
      <c r="O179" s="552"/>
      <c r="P179" s="251">
        <f>業務書類量調査!$U$19</f>
        <v>2400</v>
      </c>
    </row>
    <row r="180" spans="2:17" ht="8.1" customHeight="1" thickBot="1">
      <c r="K180" s="337"/>
      <c r="L180" s="338"/>
    </row>
    <row r="181" spans="2:17" ht="23.1" customHeight="1">
      <c r="C181" s="222" t="s">
        <v>207</v>
      </c>
      <c r="D181" s="242">
        <f>$D$179*D148</f>
        <v>2400</v>
      </c>
      <c r="E181" s="242">
        <f>$D$179*E148</f>
        <v>0</v>
      </c>
      <c r="F181" s="242">
        <f>$D$179*F148</f>
        <v>0</v>
      </c>
      <c r="G181" s="243">
        <f>$D$179*G148</f>
        <v>0</v>
      </c>
      <c r="K181" s="337"/>
      <c r="L181" s="338"/>
    </row>
    <row r="182" spans="2:17" ht="23.1" customHeight="1">
      <c r="C182" s="226" t="s">
        <v>427</v>
      </c>
      <c r="D182" s="538">
        <f>D181*D158</f>
        <v>144000</v>
      </c>
      <c r="E182" s="538">
        <f>E181*E158</f>
        <v>0</v>
      </c>
      <c r="F182" s="538">
        <f>F181*F158</f>
        <v>0</v>
      </c>
      <c r="G182" s="539">
        <f>G181*G158</f>
        <v>0</v>
      </c>
      <c r="K182" s="337"/>
      <c r="L182" s="338"/>
    </row>
    <row r="183" spans="2:17" s="543" customFormat="1" ht="23.1" hidden="1" customHeight="1" outlineLevel="1">
      <c r="C183" s="540" t="s">
        <v>825</v>
      </c>
      <c r="D183" s="541">
        <f>INT(D182/(60*基礎情報!$J$5))</f>
        <v>300</v>
      </c>
      <c r="E183" s="541">
        <f>INT(E182/(60*基礎情報!$J$5))</f>
        <v>0</v>
      </c>
      <c r="F183" s="541">
        <f>INT(F182/(60*基礎情報!$J$5))</f>
        <v>0</v>
      </c>
      <c r="G183" s="542">
        <f>INT(G182/(60*基礎情報!$J$5))</f>
        <v>0</v>
      </c>
      <c r="K183" s="544"/>
      <c r="L183" s="545"/>
      <c r="O183" s="546"/>
    </row>
    <row r="184" spans="2:17" s="543" customFormat="1" ht="23.1" hidden="1" customHeight="1" outlineLevel="1">
      <c r="C184" s="540" t="s">
        <v>428</v>
      </c>
      <c r="D184" s="541">
        <f>INT(D182/60-8*D183)</f>
        <v>0</v>
      </c>
      <c r="E184" s="541">
        <f>INT(E182/60-8*E183)</f>
        <v>0</v>
      </c>
      <c r="F184" s="541">
        <f>INT(F182/60-8*F183)</f>
        <v>0</v>
      </c>
      <c r="G184" s="542">
        <f>INT(G182/60-8*G183)</f>
        <v>0</v>
      </c>
      <c r="K184" s="544"/>
      <c r="L184" s="545"/>
      <c r="O184" s="546"/>
    </row>
    <row r="185" spans="2:17" s="543" customFormat="1" ht="23.1" hidden="1" customHeight="1" outlineLevel="1">
      <c r="C185" s="540" t="s">
        <v>523</v>
      </c>
      <c r="D185" s="541">
        <f>ROUND(MOD(D182,60),0)</f>
        <v>0</v>
      </c>
      <c r="E185" s="541">
        <f>ROUND(MOD(E182,60),0)</f>
        <v>0</v>
      </c>
      <c r="F185" s="541">
        <f>ROUND(MOD(F182,60),0)</f>
        <v>0</v>
      </c>
      <c r="G185" s="542">
        <f>ROUND(MOD(G182,60),0)</f>
        <v>0</v>
      </c>
      <c r="K185" s="544"/>
      <c r="L185" s="545"/>
      <c r="O185" s="546"/>
    </row>
    <row r="186" spans="2:17" ht="23.1" customHeight="1" collapsed="1">
      <c r="C186" s="226" t="s">
        <v>428</v>
      </c>
      <c r="D186" s="231" t="str">
        <f>IF(D183=0,"",D183&amp;"日")&amp;IF(D184=0,"",D184&amp;"時間")&amp;D185&amp;"分"</f>
        <v>300日0分</v>
      </c>
      <c r="E186" s="231" t="str">
        <f>IF(E183=0,"",E183&amp;"日")&amp;IF(E184=0,"",E184&amp;"時間")&amp;E185&amp;"分"</f>
        <v>0分</v>
      </c>
      <c r="F186" s="231" t="str">
        <f>IF(F183=0,"",F183&amp;"日")&amp;IF(F184=0,"",F184&amp;"時間")&amp;F185&amp;"分"</f>
        <v>0分</v>
      </c>
      <c r="G186" s="232" t="str">
        <f>IF(G183=0,"",G183&amp;"日")&amp;IF(G184=0,"",G184&amp;"時間")&amp;G185&amp;"分"</f>
        <v>0分</v>
      </c>
      <c r="K186" s="337"/>
      <c r="L186" s="338"/>
    </row>
    <row r="187" spans="2:17" ht="23.1" customHeight="1">
      <c r="C187" s="226" t="s">
        <v>425</v>
      </c>
      <c r="D187" s="246">
        <f>D182*基礎情報!$Q$4</f>
        <v>7200000</v>
      </c>
      <c r="E187" s="246">
        <f>E182*基礎情報!$Q$4</f>
        <v>0</v>
      </c>
      <c r="F187" s="246">
        <f>F182*基礎情報!$Q$4</f>
        <v>0</v>
      </c>
      <c r="G187" s="247">
        <f>G182*基礎情報!$Q$4</f>
        <v>0</v>
      </c>
      <c r="K187" s="337"/>
      <c r="L187" s="338"/>
    </row>
    <row r="188" spans="2:17" ht="23.1" customHeight="1">
      <c r="C188" s="226" t="s">
        <v>426</v>
      </c>
      <c r="D188" s="246">
        <f>D181*D166</f>
        <v>289440</v>
      </c>
      <c r="E188" s="246">
        <f>E181*E166</f>
        <v>0</v>
      </c>
      <c r="F188" s="246">
        <f>F181*F166</f>
        <v>0</v>
      </c>
      <c r="G188" s="247">
        <f>G181*G166</f>
        <v>0</v>
      </c>
      <c r="K188" s="337"/>
      <c r="L188" s="338"/>
    </row>
    <row r="189" spans="2:17" ht="23.1" customHeight="1" thickBot="1">
      <c r="C189" s="223" t="s">
        <v>429</v>
      </c>
      <c r="D189" s="248">
        <f>SUM(D187:D188)</f>
        <v>7489440</v>
      </c>
      <c r="E189" s="248">
        <f>SUM(E187:E188)</f>
        <v>0</v>
      </c>
      <c r="F189" s="248">
        <f>SUM(F187:F188)</f>
        <v>0</v>
      </c>
      <c r="G189" s="230">
        <f>SUM(G187:G188)</f>
        <v>0</v>
      </c>
      <c r="K189" s="337"/>
      <c r="L189" s="338"/>
    </row>
    <row r="190" spans="2:17" ht="8.1" customHeight="1">
      <c r="K190" s="337"/>
      <c r="L190" s="338"/>
    </row>
    <row r="191" spans="2:17" ht="14.25" thickBot="1">
      <c r="B191" s="27" t="s">
        <v>821</v>
      </c>
      <c r="C191" s="29"/>
      <c r="D191" s="28"/>
      <c r="E191" s="28"/>
      <c r="F191" s="28"/>
      <c r="K191" s="337"/>
      <c r="L191" s="338"/>
    </row>
    <row r="192" spans="2:17" ht="8.1" customHeight="1" thickBot="1">
      <c r="K192" s="337"/>
      <c r="L192" s="338"/>
    </row>
    <row r="193" spans="2:23" ht="23.1" customHeight="1">
      <c r="C193" s="233" t="s">
        <v>207</v>
      </c>
      <c r="D193" s="236">
        <f>SUM(D181:G181)</f>
        <v>2400</v>
      </c>
      <c r="K193" s="337"/>
      <c r="L193" s="338"/>
      <c r="N193" s="300" t="s">
        <v>207</v>
      </c>
      <c r="O193" s="547"/>
      <c r="P193" s="236">
        <f>P179</f>
        <v>2400</v>
      </c>
    </row>
    <row r="194" spans="2:23" ht="23.1" customHeight="1">
      <c r="C194" s="234" t="s">
        <v>427</v>
      </c>
      <c r="D194" s="560">
        <f>SUM(D182:G182)</f>
        <v>144000</v>
      </c>
      <c r="K194" s="337"/>
      <c r="L194" s="338"/>
      <c r="N194" s="301" t="s">
        <v>427</v>
      </c>
      <c r="O194" s="548"/>
      <c r="P194" s="560">
        <f>P170*P193</f>
        <v>108000</v>
      </c>
    </row>
    <row r="195" spans="2:23" s="543" customFormat="1" ht="23.1" hidden="1" customHeight="1" outlineLevel="1">
      <c r="C195" s="540" t="s">
        <v>825</v>
      </c>
      <c r="D195" s="542">
        <f>INT(D194/(60*基礎情報!$J$5))</f>
        <v>300</v>
      </c>
      <c r="K195" s="544"/>
      <c r="L195" s="545"/>
      <c r="N195" s="945" t="s">
        <v>825</v>
      </c>
      <c r="O195" s="946"/>
      <c r="P195" s="542">
        <f>INT(P194/(60*基礎情報!$J$5))</f>
        <v>225</v>
      </c>
    </row>
    <row r="196" spans="2:23" s="543" customFormat="1" ht="23.1" hidden="1" customHeight="1" outlineLevel="1">
      <c r="C196" s="540" t="s">
        <v>428</v>
      </c>
      <c r="D196" s="542">
        <f>INT(D194/60-8*D195)</f>
        <v>0</v>
      </c>
      <c r="K196" s="544"/>
      <c r="L196" s="545"/>
      <c r="N196" s="945" t="s">
        <v>428</v>
      </c>
      <c r="O196" s="946"/>
      <c r="P196" s="542">
        <f>INT(P194/60-8*P195)</f>
        <v>0</v>
      </c>
    </row>
    <row r="197" spans="2:23" s="543" customFormat="1" ht="23.1" hidden="1" customHeight="1" outlineLevel="1">
      <c r="C197" s="540" t="s">
        <v>523</v>
      </c>
      <c r="D197" s="542">
        <f>ROUND(MOD(D194,60),0)</f>
        <v>0</v>
      </c>
      <c r="K197" s="544"/>
      <c r="L197" s="545"/>
      <c r="N197" s="945" t="s">
        <v>523</v>
      </c>
      <c r="O197" s="946"/>
      <c r="P197" s="542">
        <f>ROUND(MOD(P194,60),0)</f>
        <v>0</v>
      </c>
    </row>
    <row r="198" spans="2:23" ht="23.1" customHeight="1" collapsed="1">
      <c r="C198" s="234" t="s">
        <v>428</v>
      </c>
      <c r="D198" s="238" t="str">
        <f>IF(D195=0,"",D195&amp;"日")&amp;IF(D196=0,"",D196&amp;"時間")&amp;D197&amp;"分"</f>
        <v>300日0分</v>
      </c>
      <c r="E198" s="50" t="str">
        <f>"※注文担当者が "&amp;基礎情報!$J$8&amp;" 人の場合、1人当たり注文書作成・送付にかかる人日は、約 "&amp;ROUNDUP((D194/12)/基礎情報!$J$8/60/基礎情報!$J$5,1)&amp;" 人日"</f>
        <v>※注文担当者が 2 人の場合、1人当たり注文書作成・送付にかかる人日は、約 12.5 人日</v>
      </c>
      <c r="K198" s="337"/>
      <c r="L198" s="338"/>
      <c r="N198" s="301" t="s">
        <v>428</v>
      </c>
      <c r="O198" s="548"/>
      <c r="P198" s="238" t="str">
        <f>IF(P195=0,"",P195&amp;"日")&amp;IF(P196=0,"",P196&amp;"時間")&amp;P197&amp;"分"</f>
        <v>225日0分</v>
      </c>
      <c r="Q198" s="50" t="str">
        <f>"※注文担当者が "&amp;基礎情報!$J$8&amp;" 人の場合、1人当たり注文書作成・送付にかかる人日は、約 "&amp;ROUNDUP((P194/12)/基礎情報!$J$8/60/基礎情報!$J$5,1)&amp;" 人日"</f>
        <v>※注文担当者が 2 人の場合、1人当たり注文書作成・送付にかかる人日は、約 9.4 人日</v>
      </c>
    </row>
    <row r="199" spans="2:23" ht="23.1" customHeight="1">
      <c r="C199" s="234" t="s">
        <v>425</v>
      </c>
      <c r="D199" s="241">
        <f>SUM(D187:G187)</f>
        <v>7200000</v>
      </c>
      <c r="K199" s="337"/>
      <c r="L199" s="338"/>
      <c r="N199" s="301" t="s">
        <v>425</v>
      </c>
      <c r="O199" s="548"/>
      <c r="P199" s="241">
        <f>P194*基礎情報!$Q$4</f>
        <v>5400000</v>
      </c>
    </row>
    <row r="200" spans="2:23" ht="23.1" customHeight="1">
      <c r="C200" s="234" t="s">
        <v>426</v>
      </c>
      <c r="D200" s="239">
        <f>SUM(D188:G188)</f>
        <v>289440</v>
      </c>
      <c r="K200" s="337"/>
      <c r="L200" s="338"/>
      <c r="N200" s="301" t="s">
        <v>426</v>
      </c>
      <c r="O200" s="548"/>
      <c r="P200" s="239">
        <f>P175*P179</f>
        <v>0</v>
      </c>
      <c r="Q200" s="537" t="str">
        <f>"約 "&amp;ROUNDUP((P194/12)/基礎情報!$J$8/60/基礎情報!$J$5,1)&amp;" 人日"</f>
        <v>約 9.4 人日</v>
      </c>
    </row>
    <row r="201" spans="2:23" ht="23.1" customHeight="1" thickBot="1">
      <c r="C201" s="235" t="s">
        <v>429</v>
      </c>
      <c r="D201" s="240">
        <f>SUM(D189:G189)</f>
        <v>7489440</v>
      </c>
      <c r="K201" s="337"/>
      <c r="L201" s="338"/>
      <c r="N201" s="303" t="s">
        <v>429</v>
      </c>
      <c r="O201" s="549"/>
      <c r="P201" s="240">
        <f>SUM(P199:P200)</f>
        <v>5400000</v>
      </c>
      <c r="W201" s="537"/>
    </row>
    <row r="202" spans="2:23" ht="8.1" customHeight="1">
      <c r="K202" s="337"/>
      <c r="L202" s="338"/>
    </row>
    <row r="203" spans="2:23" ht="17.25">
      <c r="B203" s="947" t="s">
        <v>204</v>
      </c>
      <c r="C203" s="948"/>
      <c r="D203" s="948"/>
      <c r="E203" s="948"/>
      <c r="F203" s="948"/>
      <c r="G203" s="948"/>
      <c r="H203" s="948"/>
      <c r="I203" s="948"/>
      <c r="J203" s="949"/>
      <c r="K203" s="337"/>
      <c r="L203" s="338"/>
      <c r="M203" s="947" t="s">
        <v>204</v>
      </c>
      <c r="N203" s="948"/>
      <c r="O203" s="948"/>
      <c r="P203" s="948"/>
      <c r="Q203" s="949"/>
    </row>
    <row r="204" spans="2:23" ht="8.1" customHeight="1">
      <c r="K204" s="337"/>
      <c r="L204" s="338"/>
      <c r="O204"/>
    </row>
    <row r="205" spans="2:23" ht="14.25" thickBot="1">
      <c r="B205" s="27" t="s">
        <v>7</v>
      </c>
      <c r="C205" s="29"/>
      <c r="D205" s="28"/>
      <c r="E205" s="28"/>
      <c r="F205" s="28"/>
      <c r="K205" s="337"/>
      <c r="L205" s="338"/>
      <c r="M205" s="27" t="s">
        <v>7</v>
      </c>
      <c r="N205" s="29"/>
      <c r="O205" s="28"/>
      <c r="P205" s="28"/>
      <c r="Q205" s="28"/>
    </row>
    <row r="206" spans="2:23" ht="8.1" customHeight="1">
      <c r="K206" s="337"/>
      <c r="L206" s="338"/>
    </row>
    <row r="207" spans="2:23" ht="27">
      <c r="B207" s="209" t="s">
        <v>818</v>
      </c>
      <c r="C207" s="214"/>
      <c r="D207" s="211" t="s">
        <v>430</v>
      </c>
      <c r="E207" s="211" t="s">
        <v>448</v>
      </c>
      <c r="F207" s="211" t="s">
        <v>580</v>
      </c>
      <c r="K207" s="337"/>
      <c r="L207" s="338"/>
      <c r="M207" s="209" t="s">
        <v>818</v>
      </c>
      <c r="N207" s="214"/>
      <c r="O207" s="950" t="s">
        <v>163</v>
      </c>
      <c r="P207" s="210" t="s">
        <v>686</v>
      </c>
    </row>
    <row r="208" spans="2:23">
      <c r="B208" s="212"/>
      <c r="C208" s="213" t="s">
        <v>424</v>
      </c>
      <c r="D208" s="215">
        <f>現業務調査!Y121</f>
        <v>1</v>
      </c>
      <c r="E208" s="215">
        <f>現業務調査!Y122</f>
        <v>0</v>
      </c>
      <c r="F208" s="215">
        <f>現業務調査!Y123</f>
        <v>0</v>
      </c>
      <c r="K208" s="337"/>
      <c r="L208" s="338"/>
      <c r="M208" s="212"/>
      <c r="N208" s="213"/>
      <c r="O208" s="952"/>
      <c r="P208" s="215"/>
    </row>
    <row r="209" spans="2:16" ht="8.1" customHeight="1">
      <c r="D209" s="127"/>
      <c r="E209" s="127"/>
      <c r="F209" s="127"/>
      <c r="K209" s="337"/>
      <c r="L209" s="338"/>
    </row>
    <row r="210" spans="2:16">
      <c r="B210" s="67" t="s">
        <v>109</v>
      </c>
      <c r="C210" s="68"/>
      <c r="D210" s="68"/>
      <c r="E210" s="68"/>
      <c r="F210" s="69"/>
      <c r="K210" s="337"/>
      <c r="L210" s="338"/>
      <c r="M210" s="67" t="s">
        <v>109</v>
      </c>
      <c r="N210" s="68"/>
      <c r="O210" s="286"/>
      <c r="P210" s="69"/>
    </row>
    <row r="211" spans="2:16" ht="27">
      <c r="B211" s="70"/>
      <c r="C211" s="216" t="s">
        <v>449</v>
      </c>
      <c r="D211" s="496">
        <v>0</v>
      </c>
      <c r="E211" s="496">
        <v>0</v>
      </c>
      <c r="F211" s="496"/>
      <c r="K211" s="337"/>
      <c r="L211" s="338"/>
      <c r="M211" s="70"/>
      <c r="N211" s="216" t="s">
        <v>449</v>
      </c>
      <c r="O211" s="509">
        <v>0</v>
      </c>
      <c r="P211" s="285">
        <f>MAX(D211:J211)*O211</f>
        <v>0</v>
      </c>
    </row>
    <row r="212" spans="2:16" ht="27">
      <c r="B212" s="70"/>
      <c r="C212" s="216" t="s">
        <v>205</v>
      </c>
      <c r="D212" s="496">
        <v>0</v>
      </c>
      <c r="E212" s="496">
        <v>0</v>
      </c>
      <c r="F212" s="496">
        <v>0</v>
      </c>
      <c r="K212" s="337"/>
      <c r="L212" s="338"/>
      <c r="M212" s="70"/>
      <c r="N212" s="216" t="s">
        <v>205</v>
      </c>
      <c r="O212" s="509">
        <v>0.9</v>
      </c>
      <c r="P212" s="285">
        <f>MAX(D212:J212)*O212</f>
        <v>0</v>
      </c>
    </row>
    <row r="213" spans="2:16" ht="27">
      <c r="B213" s="70"/>
      <c r="C213" s="217" t="s">
        <v>206</v>
      </c>
      <c r="D213" s="953">
        <f>現業務調査!S121</f>
        <v>3</v>
      </c>
      <c r="E213" s="953"/>
      <c r="F213" s="953"/>
      <c r="K213" s="337"/>
      <c r="L213" s="338"/>
      <c r="M213" s="70"/>
      <c r="N213" s="217" t="s">
        <v>206</v>
      </c>
      <c r="O213" s="304"/>
      <c r="P213" s="256">
        <f>導入後効果予測!AD21</f>
        <v>3</v>
      </c>
    </row>
    <row r="214" spans="2:16" ht="27">
      <c r="B214" s="70"/>
      <c r="C214" s="216" t="s">
        <v>608</v>
      </c>
      <c r="D214" s="501">
        <v>0</v>
      </c>
      <c r="E214" s="501">
        <v>0</v>
      </c>
      <c r="F214" s="501"/>
      <c r="K214" s="337"/>
      <c r="L214" s="338"/>
      <c r="M214" s="70"/>
      <c r="N214" s="216" t="s">
        <v>815</v>
      </c>
      <c r="O214" s="509">
        <v>0</v>
      </c>
      <c r="P214" s="285">
        <f>MAX(D214:J214)*O214</f>
        <v>0</v>
      </c>
    </row>
    <row r="215" spans="2:16" ht="27">
      <c r="B215" s="70"/>
      <c r="C215" s="216" t="s">
        <v>196</v>
      </c>
      <c r="D215" s="496"/>
      <c r="E215" s="496"/>
      <c r="F215" s="496"/>
      <c r="K215" s="337"/>
      <c r="L215" s="338"/>
      <c r="M215" s="70"/>
      <c r="N215" s="216" t="s">
        <v>196</v>
      </c>
      <c r="O215" s="509">
        <v>0</v>
      </c>
      <c r="P215" s="256">
        <f>MAX(D215:J215)*O215</f>
        <v>0</v>
      </c>
    </row>
    <row r="216" spans="2:16" ht="27">
      <c r="B216" s="70"/>
      <c r="C216" s="216" t="s">
        <v>609</v>
      </c>
      <c r="D216" s="496">
        <v>0</v>
      </c>
      <c r="E216" s="496">
        <v>0</v>
      </c>
      <c r="F216" s="496"/>
      <c r="K216" s="337"/>
      <c r="L216" s="338"/>
      <c r="M216" s="70"/>
      <c r="N216" s="216" t="s">
        <v>813</v>
      </c>
      <c r="O216" s="509">
        <v>0</v>
      </c>
      <c r="P216" s="256">
        <f>MAX(D216:J216)*O216</f>
        <v>0</v>
      </c>
    </row>
    <row r="217" spans="2:16" ht="27.75" thickBot="1">
      <c r="B217" s="70"/>
      <c r="C217" s="218" t="s">
        <v>610</v>
      </c>
      <c r="D217" s="497">
        <v>0</v>
      </c>
      <c r="E217" s="497">
        <v>0</v>
      </c>
      <c r="F217" s="497"/>
      <c r="K217" s="337"/>
      <c r="L217" s="338"/>
      <c r="M217" s="70"/>
      <c r="N217" s="260" t="s">
        <v>814</v>
      </c>
      <c r="O217" s="510">
        <v>0</v>
      </c>
      <c r="P217" s="285">
        <f>MAX(D217:J217)*O217</f>
        <v>0</v>
      </c>
    </row>
    <row r="218" spans="2:16" ht="30" customHeight="1">
      <c r="B218" s="70"/>
      <c r="C218" s="219" t="s">
        <v>22</v>
      </c>
      <c r="D218" s="281">
        <f>SUM(D211:D212)+$D$213+SUM(D214:D217)</f>
        <v>3</v>
      </c>
      <c r="E218" s="281">
        <f>SUM(E211:E212)+$D$213+SUM(E214:E217)</f>
        <v>3</v>
      </c>
      <c r="F218" s="281">
        <f>SUM(F211:F212)+$D$213+SUM(F214:F217)</f>
        <v>3</v>
      </c>
      <c r="K218" s="337"/>
      <c r="L218" s="338"/>
      <c r="M218" s="70"/>
      <c r="N218" s="219" t="s">
        <v>22</v>
      </c>
      <c r="O218" s="308"/>
      <c r="P218" s="282">
        <f>SUM(P211:P217)</f>
        <v>3</v>
      </c>
    </row>
    <row r="219" spans="2:16" ht="14.25" thickBot="1">
      <c r="B219" s="15"/>
      <c r="C219" s="270" t="s">
        <v>300</v>
      </c>
      <c r="D219" s="262">
        <f>D218*基礎情報!$Q$4</f>
        <v>150</v>
      </c>
      <c r="E219" s="262">
        <f>E218*基礎情報!$Q$4</f>
        <v>150</v>
      </c>
      <c r="F219" s="263">
        <f>F218*基礎情報!$Q$4</f>
        <v>150</v>
      </c>
      <c r="K219" s="337"/>
      <c r="L219" s="338"/>
      <c r="M219" s="15"/>
      <c r="N219" s="270" t="s">
        <v>300</v>
      </c>
      <c r="O219" s="306"/>
      <c r="P219" s="263">
        <f>P218*基礎情報!$Q$4</f>
        <v>150</v>
      </c>
    </row>
    <row r="220" spans="2:16">
      <c r="B220" s="67" t="s">
        <v>426</v>
      </c>
      <c r="C220" s="38"/>
      <c r="D220" s="38"/>
      <c r="E220" s="38"/>
      <c r="F220" s="71"/>
      <c r="K220" s="337"/>
      <c r="L220" s="338"/>
      <c r="M220" s="67" t="s">
        <v>426</v>
      </c>
      <c r="N220" s="38"/>
      <c r="O220" s="277"/>
      <c r="P220" s="71"/>
    </row>
    <row r="221" spans="2:16" ht="40.5">
      <c r="B221" s="70"/>
      <c r="C221" s="217" t="s">
        <v>6</v>
      </c>
      <c r="D221" s="955">
        <f>$D$161</f>
        <v>3</v>
      </c>
      <c r="E221" s="955"/>
      <c r="F221" s="955"/>
      <c r="K221" s="337"/>
      <c r="L221" s="338"/>
      <c r="M221" s="70"/>
      <c r="N221" s="217" t="s">
        <v>6</v>
      </c>
      <c r="O221" s="509">
        <v>0</v>
      </c>
      <c r="P221" s="255">
        <f>MAX(D221:J221)*O221</f>
        <v>0</v>
      </c>
    </row>
    <row r="222" spans="2:16" ht="30" customHeight="1">
      <c r="B222" s="70"/>
      <c r="C222" s="220" t="s">
        <v>203</v>
      </c>
      <c r="D222" s="502">
        <v>0</v>
      </c>
      <c r="E222" s="502">
        <v>0</v>
      </c>
      <c r="F222" s="502">
        <v>0</v>
      </c>
      <c r="K222" s="337"/>
      <c r="L222" s="338"/>
      <c r="M222" s="70"/>
      <c r="N222" s="220" t="s">
        <v>203</v>
      </c>
      <c r="O222" s="509">
        <v>0</v>
      </c>
      <c r="P222" s="424">
        <f>MAX(D222:J222)*O222</f>
        <v>0</v>
      </c>
    </row>
    <row r="223" spans="2:16" ht="30" customHeight="1">
      <c r="B223" s="70"/>
      <c r="C223" s="220" t="s">
        <v>202</v>
      </c>
      <c r="D223" s="499">
        <f>$D$221*基礎情報!$M$14</f>
        <v>7.8000000000000007</v>
      </c>
      <c r="E223" s="499">
        <f>$D$221*基礎情報!$M$14</f>
        <v>7.8000000000000007</v>
      </c>
      <c r="F223" s="499">
        <f>$D$221*基礎情報!$M$14</f>
        <v>7.8000000000000007</v>
      </c>
      <c r="K223" s="337"/>
      <c r="L223" s="338"/>
      <c r="M223" s="70"/>
      <c r="N223" s="220" t="s">
        <v>202</v>
      </c>
      <c r="O223" s="509">
        <v>0</v>
      </c>
      <c r="P223" s="424">
        <f>MAX(D223:J223)*O223</f>
        <v>0</v>
      </c>
    </row>
    <row r="224" spans="2:16" ht="30" customHeight="1">
      <c r="B224" s="70"/>
      <c r="C224" s="220" t="s">
        <v>816</v>
      </c>
      <c r="D224" s="502">
        <v>0</v>
      </c>
      <c r="E224" s="502">
        <v>0</v>
      </c>
      <c r="F224" s="502"/>
      <c r="K224" s="337"/>
      <c r="L224" s="338"/>
      <c r="M224" s="70"/>
      <c r="N224" s="220" t="s">
        <v>816</v>
      </c>
      <c r="O224" s="509">
        <v>0</v>
      </c>
      <c r="P224" s="424">
        <f>MAX(D224:J224)*O224</f>
        <v>0</v>
      </c>
    </row>
    <row r="225" spans="2:17" ht="30" customHeight="1" thickBot="1">
      <c r="B225" s="70"/>
      <c r="C225" s="221" t="s">
        <v>817</v>
      </c>
      <c r="D225" s="500">
        <v>0</v>
      </c>
      <c r="E225" s="500">
        <f>IF(OR(現業務調査!$Y$104=0,現業務調査!$Y$104=1),"",基礎情報!$M$9)</f>
        <v>0</v>
      </c>
      <c r="F225" s="500"/>
      <c r="K225" s="337"/>
      <c r="L225" s="338"/>
      <c r="M225" s="70"/>
      <c r="N225" s="259" t="s">
        <v>817</v>
      </c>
      <c r="O225" s="510">
        <v>0</v>
      </c>
      <c r="P225" s="429">
        <f>MAX(D225:J225)*O225</f>
        <v>0</v>
      </c>
    </row>
    <row r="226" spans="2:17" ht="30" customHeight="1" thickBot="1">
      <c r="B226" s="15"/>
      <c r="C226" s="249" t="s">
        <v>23</v>
      </c>
      <c r="D226" s="425">
        <f>SUM(D222:D225)</f>
        <v>7.8000000000000007</v>
      </c>
      <c r="E226" s="425">
        <f>SUM(E222:E225)</f>
        <v>7.8000000000000007</v>
      </c>
      <c r="F226" s="425">
        <f>SUM(F222:F225)</f>
        <v>7.8000000000000007</v>
      </c>
      <c r="K226" s="337"/>
      <c r="L226" s="338"/>
      <c r="M226" s="15"/>
      <c r="N226" s="249" t="s">
        <v>23</v>
      </c>
      <c r="O226" s="307"/>
      <c r="P226" s="426">
        <f>SUM(P222:P225)</f>
        <v>0</v>
      </c>
    </row>
    <row r="227" spans="2:17" ht="8.1" customHeight="1">
      <c r="K227" s="337"/>
      <c r="L227" s="338"/>
    </row>
    <row r="228" spans="2:17" ht="14.25" thickBot="1">
      <c r="B228" s="27" t="s">
        <v>8</v>
      </c>
      <c r="C228" s="29"/>
      <c r="D228" s="28"/>
      <c r="E228" s="28"/>
      <c r="F228" s="28"/>
      <c r="K228" s="337"/>
      <c r="L228" s="338"/>
      <c r="M228" s="27" t="s">
        <v>8</v>
      </c>
      <c r="N228" s="29"/>
      <c r="O228" s="28"/>
      <c r="P228" s="28"/>
      <c r="Q228" s="28"/>
    </row>
    <row r="229" spans="2:17" ht="8.1" customHeight="1" thickBot="1">
      <c r="K229" s="337"/>
      <c r="L229" s="338"/>
      <c r="O229"/>
    </row>
    <row r="230" spans="2:17" ht="23.1" customHeight="1">
      <c r="C230" s="228" t="s">
        <v>9</v>
      </c>
      <c r="D230" s="284">
        <f>SUMPRODUCT($D$208:$F$208,$D$218:$F$218)</f>
        <v>3</v>
      </c>
      <c r="K230" s="337"/>
      <c r="L230" s="338"/>
      <c r="N230" s="265" t="s">
        <v>9</v>
      </c>
      <c r="O230" s="295"/>
      <c r="P230" s="309">
        <f>P218</f>
        <v>3</v>
      </c>
    </row>
    <row r="231" spans="2:17" ht="14.25" thickBot="1">
      <c r="C231" s="229" t="s">
        <v>10</v>
      </c>
      <c r="D231" s="269">
        <f>SUMPRODUCT($D$208:$F$208,$D$219:$F$219)</f>
        <v>150</v>
      </c>
      <c r="K231" s="337"/>
      <c r="L231" s="338"/>
      <c r="N231" s="312" t="s">
        <v>10</v>
      </c>
      <c r="O231" s="297"/>
      <c r="P231" s="318">
        <f>P219</f>
        <v>150</v>
      </c>
    </row>
    <row r="232" spans="2:17" ht="8.1" customHeight="1">
      <c r="C232" s="208"/>
      <c r="D232" s="207"/>
      <c r="K232" s="337"/>
      <c r="L232" s="338"/>
      <c r="N232" s="208"/>
      <c r="O232" s="207"/>
    </row>
    <row r="233" spans="2:17" ht="14.25" thickBot="1">
      <c r="B233" s="27" t="s">
        <v>11</v>
      </c>
      <c r="C233" s="29"/>
      <c r="D233" s="28"/>
      <c r="E233" s="28"/>
      <c r="F233" s="28"/>
      <c r="K233" s="337"/>
      <c r="L233" s="338"/>
      <c r="M233" s="27" t="s">
        <v>11</v>
      </c>
      <c r="N233" s="29"/>
      <c r="O233" s="28"/>
      <c r="P233" s="28"/>
      <c r="Q233" s="28"/>
    </row>
    <row r="234" spans="2:17" ht="8.1" customHeight="1" thickBot="1">
      <c r="K234" s="337"/>
      <c r="L234" s="338"/>
      <c r="O234"/>
    </row>
    <row r="235" spans="2:17" ht="23.1" customHeight="1" thickBot="1">
      <c r="C235" s="227" t="s">
        <v>12</v>
      </c>
      <c r="D235" s="428">
        <f>SUMPRODUCT($D$208:$F$208,$D$226:$F$226)</f>
        <v>7.8000000000000007</v>
      </c>
      <c r="K235" s="337"/>
      <c r="L235" s="338"/>
      <c r="N235" s="298" t="s">
        <v>12</v>
      </c>
      <c r="O235" s="299"/>
      <c r="P235" s="427">
        <f>P226</f>
        <v>0</v>
      </c>
    </row>
    <row r="236" spans="2:17" ht="8.1" customHeight="1">
      <c r="K236" s="337"/>
      <c r="L236" s="338"/>
      <c r="O236"/>
    </row>
    <row r="237" spans="2:17" ht="14.25" thickBot="1">
      <c r="B237" s="27" t="s">
        <v>13</v>
      </c>
      <c r="C237" s="29"/>
      <c r="D237" s="28"/>
      <c r="E237" s="28"/>
      <c r="F237" s="28"/>
      <c r="K237" s="337"/>
      <c r="L237" s="338"/>
      <c r="M237" s="27" t="s">
        <v>13</v>
      </c>
      <c r="N237" s="29"/>
      <c r="O237" s="28"/>
      <c r="P237" s="28"/>
      <c r="Q237" s="28"/>
    </row>
    <row r="238" spans="2:17" ht="8.1" customHeight="1" thickBot="1">
      <c r="K238" s="337"/>
      <c r="L238" s="338"/>
      <c r="O238"/>
    </row>
    <row r="239" spans="2:17" ht="23.1" customHeight="1" thickBot="1">
      <c r="C239" s="250" t="s">
        <v>775</v>
      </c>
      <c r="D239" s="251">
        <f>業務書類量調査!$U$19</f>
        <v>2400</v>
      </c>
      <c r="K239" s="337"/>
      <c r="L239" s="338"/>
      <c r="N239" s="320" t="s">
        <v>775</v>
      </c>
      <c r="O239" s="299"/>
      <c r="P239" s="319">
        <f>業務書類量調査!$U$19</f>
        <v>2400</v>
      </c>
    </row>
    <row r="240" spans="2:17" ht="8.1" customHeight="1" thickBot="1">
      <c r="K240" s="337"/>
      <c r="L240" s="338"/>
    </row>
    <row r="241" spans="2:16" ht="23.1" customHeight="1">
      <c r="C241" s="222" t="s">
        <v>207</v>
      </c>
      <c r="D241" s="242">
        <f>$D$239*D208</f>
        <v>2400</v>
      </c>
      <c r="E241" s="242">
        <f>$D$239*E208</f>
        <v>0</v>
      </c>
      <c r="F241" s="243">
        <f>$D$239*F208</f>
        <v>0</v>
      </c>
      <c r="K241" s="337"/>
      <c r="L241" s="338"/>
    </row>
    <row r="242" spans="2:16" ht="23.1" customHeight="1">
      <c r="C242" s="226" t="s">
        <v>427</v>
      </c>
      <c r="D242" s="538">
        <f>D241*D218</f>
        <v>7200</v>
      </c>
      <c r="E242" s="538">
        <f>E241*E218</f>
        <v>0</v>
      </c>
      <c r="F242" s="539">
        <f>F241*F218</f>
        <v>0</v>
      </c>
      <c r="K242" s="337"/>
      <c r="L242" s="338"/>
    </row>
    <row r="243" spans="2:16" s="543" customFormat="1" ht="23.1" hidden="1" customHeight="1" outlineLevel="1">
      <c r="C243" s="540" t="s">
        <v>825</v>
      </c>
      <c r="D243" s="541">
        <f>INT(D242/(60*基礎情報!$J$5))</f>
        <v>15</v>
      </c>
      <c r="E243" s="541">
        <f>INT(E242/(60*基礎情報!$J$5))</f>
        <v>0</v>
      </c>
      <c r="F243" s="542">
        <f>INT(F242/(60*基礎情報!$J$5))</f>
        <v>0</v>
      </c>
      <c r="K243" s="544"/>
      <c r="L243" s="545"/>
      <c r="O243" s="546"/>
    </row>
    <row r="244" spans="2:16" s="543" customFormat="1" ht="23.1" hidden="1" customHeight="1" outlineLevel="1">
      <c r="C244" s="540" t="s">
        <v>428</v>
      </c>
      <c r="D244" s="541">
        <f>INT(D242/60-8*D243)</f>
        <v>0</v>
      </c>
      <c r="E244" s="541">
        <f>INT(E242/60-8*E243)</f>
        <v>0</v>
      </c>
      <c r="F244" s="542">
        <f>INT(F242/60-8*F243)</f>
        <v>0</v>
      </c>
      <c r="K244" s="544"/>
      <c r="L244" s="545"/>
      <c r="O244" s="546"/>
    </row>
    <row r="245" spans="2:16" s="543" customFormat="1" ht="23.1" hidden="1" customHeight="1" outlineLevel="1">
      <c r="C245" s="540" t="s">
        <v>523</v>
      </c>
      <c r="D245" s="541">
        <f>ROUND(MOD(D242,60),0)</f>
        <v>0</v>
      </c>
      <c r="E245" s="541">
        <f>ROUND(MOD(E242,60),0)</f>
        <v>0</v>
      </c>
      <c r="F245" s="542">
        <f>ROUND(MOD(F242,60),0)</f>
        <v>0</v>
      </c>
      <c r="K245" s="544"/>
      <c r="L245" s="545"/>
      <c r="O245" s="546"/>
    </row>
    <row r="246" spans="2:16" ht="23.1" customHeight="1" collapsed="1">
      <c r="C246" s="226" t="s">
        <v>428</v>
      </c>
      <c r="D246" s="231" t="str">
        <f>IF(D243=0,"",D243&amp;"日")&amp;IF(D244=0,"",D244&amp;"時間")&amp;D245&amp;"分"</f>
        <v>15日0分</v>
      </c>
      <c r="E246" s="231" t="str">
        <f>IF(E243=0,"",E243&amp;"日")&amp;IF(E244=0,"",E244&amp;"時間")&amp;E245&amp;"分"</f>
        <v>0分</v>
      </c>
      <c r="F246" s="232" t="str">
        <f>IF(F243=0,"",F243&amp;"日")&amp;IF(F244=0,"",F244&amp;"時間")&amp;F245&amp;"分"</f>
        <v>0分</v>
      </c>
      <c r="K246" s="337"/>
      <c r="L246" s="338"/>
    </row>
    <row r="247" spans="2:16" ht="23.1" customHeight="1">
      <c r="C247" s="226" t="s">
        <v>425</v>
      </c>
      <c r="D247" s="246">
        <f>D242*基礎情報!$Q$4</f>
        <v>360000</v>
      </c>
      <c r="E247" s="246">
        <f>E242*基礎情報!$Q$4</f>
        <v>0</v>
      </c>
      <c r="F247" s="247">
        <f>F242*基礎情報!$Q$4</f>
        <v>0</v>
      </c>
      <c r="K247" s="337"/>
      <c r="L247" s="338"/>
    </row>
    <row r="248" spans="2:16" ht="23.1" customHeight="1">
      <c r="C248" s="226" t="s">
        <v>426</v>
      </c>
      <c r="D248" s="246">
        <f>D241*D226</f>
        <v>18720</v>
      </c>
      <c r="E248" s="246">
        <f>E241*E226</f>
        <v>0</v>
      </c>
      <c r="F248" s="247">
        <f>F241*F226</f>
        <v>0</v>
      </c>
      <c r="K248" s="337"/>
      <c r="L248" s="338"/>
    </row>
    <row r="249" spans="2:16" ht="23.1" customHeight="1" thickBot="1">
      <c r="C249" s="223" t="s">
        <v>429</v>
      </c>
      <c r="D249" s="248">
        <f>SUM(D247:D248)</f>
        <v>378720</v>
      </c>
      <c r="E249" s="248">
        <f>SUM(E247:E248)</f>
        <v>0</v>
      </c>
      <c r="F249" s="230">
        <f>SUM(F247:F248)</f>
        <v>0</v>
      </c>
      <c r="K249" s="337"/>
      <c r="L249" s="338"/>
    </row>
    <row r="250" spans="2:16" ht="8.1" customHeight="1">
      <c r="K250" s="337"/>
      <c r="L250" s="338"/>
    </row>
    <row r="251" spans="2:16" ht="14.25" thickBot="1">
      <c r="B251" s="27" t="s">
        <v>14</v>
      </c>
      <c r="C251" s="29"/>
      <c r="D251" s="28"/>
      <c r="E251" s="28"/>
      <c r="F251" s="28"/>
      <c r="K251" s="337"/>
      <c r="L251" s="338"/>
    </row>
    <row r="252" spans="2:16" ht="8.1" customHeight="1" thickBot="1">
      <c r="K252" s="337"/>
      <c r="L252" s="338"/>
    </row>
    <row r="253" spans="2:16" ht="23.1" customHeight="1">
      <c r="C253" s="233" t="s">
        <v>207</v>
      </c>
      <c r="D253" s="236">
        <f>SUM(D241:F241)</f>
        <v>2400</v>
      </c>
      <c r="K253" s="337"/>
      <c r="L253" s="338"/>
      <c r="N253" s="300" t="s">
        <v>207</v>
      </c>
      <c r="O253" s="547"/>
      <c r="P253" s="236">
        <f>P239</f>
        <v>2400</v>
      </c>
    </row>
    <row r="254" spans="2:16" ht="23.1" customHeight="1">
      <c r="C254" s="234" t="s">
        <v>427</v>
      </c>
      <c r="D254" s="560">
        <f>SUM(D242:F242)</f>
        <v>7200</v>
      </c>
      <c r="K254" s="337"/>
      <c r="L254" s="338"/>
      <c r="N254" s="301" t="s">
        <v>427</v>
      </c>
      <c r="O254" s="548"/>
      <c r="P254" s="560">
        <f>P218*P239</f>
        <v>7200</v>
      </c>
    </row>
    <row r="255" spans="2:16" s="543" customFormat="1" ht="23.1" hidden="1" customHeight="1" outlineLevel="1">
      <c r="C255" s="540" t="s">
        <v>825</v>
      </c>
      <c r="D255" s="564">
        <f>INT(D254/(60*基礎情報!$J$5))</f>
        <v>15</v>
      </c>
      <c r="K255" s="544"/>
      <c r="L255" s="545"/>
      <c r="N255" s="945" t="s">
        <v>825</v>
      </c>
      <c r="O255" s="946"/>
      <c r="P255" s="542">
        <f>INT(P254/(60*基礎情報!$J$5))</f>
        <v>15</v>
      </c>
    </row>
    <row r="256" spans="2:16" s="543" customFormat="1" ht="23.1" hidden="1" customHeight="1" outlineLevel="1">
      <c r="C256" s="540" t="s">
        <v>428</v>
      </c>
      <c r="D256" s="564">
        <f>INT(D254/60-8*D255)</f>
        <v>0</v>
      </c>
      <c r="K256" s="544"/>
      <c r="L256" s="545"/>
      <c r="N256" s="945" t="s">
        <v>428</v>
      </c>
      <c r="O256" s="946"/>
      <c r="P256" s="542">
        <f>INT(P254/60-8*P255)</f>
        <v>0</v>
      </c>
    </row>
    <row r="257" spans="2:17" s="543" customFormat="1" ht="23.1" hidden="1" customHeight="1" outlineLevel="1">
      <c r="C257" s="540" t="s">
        <v>523</v>
      </c>
      <c r="D257" s="564">
        <f>ROUND(MOD(D254,60),0)</f>
        <v>0</v>
      </c>
      <c r="K257" s="544"/>
      <c r="L257" s="545"/>
      <c r="N257" s="945" t="s">
        <v>523</v>
      </c>
      <c r="O257" s="946"/>
      <c r="P257" s="542">
        <f>ROUND(MOD(P254,60),0)</f>
        <v>0</v>
      </c>
    </row>
    <row r="258" spans="2:17" ht="23.1" customHeight="1" collapsed="1">
      <c r="C258" s="234" t="s">
        <v>428</v>
      </c>
      <c r="D258" s="238" t="str">
        <f>IF(D255=0,"",D255&amp;"日")&amp;IF(D256=0,"",D256&amp;"時間")&amp;D257&amp;"分"</f>
        <v>15日0分</v>
      </c>
      <c r="E258" s="50" t="str">
        <f>"※注文担当者が "&amp;基礎情報!$J$8&amp;" 人の場合、1人当たり注文書作成・送付にかかる人日は、約 "&amp;ROUNDUP((D254/12)/基礎情報!$J$8/60/基礎情報!$J$5,1)&amp;" 人日"</f>
        <v>※注文担当者が 2 人の場合、1人当たり注文書作成・送付にかかる人日は、約 0.7 人日</v>
      </c>
      <c r="K258" s="337"/>
      <c r="L258" s="338"/>
      <c r="N258" s="301" t="s">
        <v>428</v>
      </c>
      <c r="O258" s="548"/>
      <c r="P258" s="238" t="str">
        <f>IF(P255=0,"",P255&amp;"日")&amp;IF(P256=0,"",P256&amp;"時間")&amp;P257&amp;"分"</f>
        <v>15日0分</v>
      </c>
      <c r="Q258" s="50" t="str">
        <f>"※注文担当者が "&amp;基礎情報!$J$8&amp;" 人の場合、1人当たり注文書作成・送付にかかる人日は、約 "&amp;ROUNDUP((P254/12)/基礎情報!$J$8/60/基礎情報!$J$5,1)&amp;" 人日"</f>
        <v>※注文担当者が 2 人の場合、1人当たり注文書作成・送付にかかる人日は、約 0.7 人日</v>
      </c>
    </row>
    <row r="259" spans="2:17" ht="23.1" customHeight="1">
      <c r="C259" s="234" t="s">
        <v>425</v>
      </c>
      <c r="D259" s="241">
        <f>SUM(D247:F247)</f>
        <v>360000</v>
      </c>
      <c r="K259" s="337"/>
      <c r="L259" s="338"/>
      <c r="N259" s="301" t="s">
        <v>425</v>
      </c>
      <c r="O259" s="548"/>
      <c r="P259" s="241">
        <f>P254*基礎情報!$Q$4</f>
        <v>360000</v>
      </c>
    </row>
    <row r="260" spans="2:17" ht="23.1" customHeight="1">
      <c r="C260" s="234" t="s">
        <v>426</v>
      </c>
      <c r="D260" s="239">
        <f>SUM(D248:F248)</f>
        <v>18720</v>
      </c>
      <c r="K260" s="337"/>
      <c r="L260" s="338"/>
      <c r="N260" s="301" t="s">
        <v>426</v>
      </c>
      <c r="O260" s="548"/>
      <c r="P260" s="239">
        <f>P235*P253</f>
        <v>0</v>
      </c>
    </row>
    <row r="261" spans="2:17" ht="23.1" customHeight="1" thickBot="1">
      <c r="C261" s="235" t="s">
        <v>429</v>
      </c>
      <c r="D261" s="240">
        <f>SUM(D249:F249)</f>
        <v>378720</v>
      </c>
      <c r="K261" s="337"/>
      <c r="L261" s="338"/>
      <c r="N261" s="303" t="s">
        <v>429</v>
      </c>
      <c r="O261" s="549"/>
      <c r="P261" s="240">
        <f>SUM(P259:P260)</f>
        <v>360000</v>
      </c>
    </row>
    <row r="262" spans="2:17" ht="8.1" customHeight="1">
      <c r="K262" s="337"/>
      <c r="L262" s="338"/>
    </row>
    <row r="263" spans="2:17" ht="17.25">
      <c r="B263" s="947" t="s">
        <v>15</v>
      </c>
      <c r="C263" s="948"/>
      <c r="D263" s="948"/>
      <c r="E263" s="948"/>
      <c r="F263" s="948"/>
      <c r="G263" s="948"/>
      <c r="H263" s="948"/>
      <c r="I263" s="948"/>
      <c r="J263" s="949"/>
      <c r="K263" s="337"/>
      <c r="L263" s="338"/>
      <c r="M263" s="947" t="s">
        <v>15</v>
      </c>
      <c r="N263" s="948"/>
      <c r="O263" s="948"/>
      <c r="P263" s="948"/>
      <c r="Q263" s="949"/>
    </row>
    <row r="264" spans="2:17" ht="8.1" customHeight="1">
      <c r="K264" s="337"/>
      <c r="L264" s="338"/>
      <c r="O264"/>
    </row>
    <row r="265" spans="2:17" ht="14.25" thickBot="1">
      <c r="B265" s="27" t="s">
        <v>24</v>
      </c>
      <c r="C265" s="29"/>
      <c r="D265" s="28"/>
      <c r="E265" s="28"/>
      <c r="F265" s="28"/>
      <c r="K265" s="337"/>
      <c r="L265" s="338"/>
      <c r="M265" s="27" t="s">
        <v>24</v>
      </c>
      <c r="N265" s="29"/>
      <c r="O265" s="28"/>
      <c r="P265" s="28"/>
      <c r="Q265" s="28"/>
    </row>
    <row r="266" spans="2:17" ht="8.1" customHeight="1">
      <c r="K266" s="337"/>
      <c r="L266" s="338"/>
    </row>
    <row r="267" spans="2:17" ht="27" customHeight="1">
      <c r="B267" s="209" t="s">
        <v>818</v>
      </c>
      <c r="C267" s="214"/>
      <c r="D267" s="211" t="s">
        <v>648</v>
      </c>
      <c r="K267" s="337"/>
      <c r="L267" s="338"/>
      <c r="M267" s="209" t="s">
        <v>818</v>
      </c>
      <c r="N267" s="214"/>
      <c r="O267" s="950" t="s">
        <v>163</v>
      </c>
      <c r="P267" s="210" t="s">
        <v>686</v>
      </c>
    </row>
    <row r="268" spans="2:17">
      <c r="B268" s="212"/>
      <c r="C268" s="213" t="s">
        <v>424</v>
      </c>
      <c r="D268" s="215">
        <v>1</v>
      </c>
      <c r="K268" s="337"/>
      <c r="L268" s="338"/>
      <c r="M268" s="212"/>
      <c r="N268" s="213"/>
      <c r="O268" s="951"/>
      <c r="P268" s="215"/>
    </row>
    <row r="269" spans="2:17" ht="8.1" customHeight="1">
      <c r="D269" s="127"/>
      <c r="K269" s="337"/>
      <c r="L269" s="338"/>
    </row>
    <row r="270" spans="2:17">
      <c r="B270" s="67" t="s">
        <v>109</v>
      </c>
      <c r="C270" s="68"/>
      <c r="D270" s="69"/>
      <c r="K270" s="337"/>
      <c r="L270" s="338"/>
      <c r="M270" s="67" t="s">
        <v>109</v>
      </c>
      <c r="N270" s="68"/>
      <c r="O270" s="286"/>
      <c r="P270" s="69"/>
    </row>
    <row r="271" spans="2:17" ht="27">
      <c r="B271" s="70"/>
      <c r="C271" s="216" t="s">
        <v>16</v>
      </c>
      <c r="D271" s="503" t="s">
        <v>17</v>
      </c>
      <c r="E271" t="s">
        <v>18</v>
      </c>
      <c r="K271" s="337"/>
      <c r="L271" s="338"/>
      <c r="M271" s="70"/>
      <c r="N271" s="216" t="s">
        <v>16</v>
      </c>
      <c r="O271" s="509">
        <v>0</v>
      </c>
      <c r="P271" s="321" t="s">
        <v>700</v>
      </c>
    </row>
    <row r="272" spans="2:17" ht="27">
      <c r="B272" s="70"/>
      <c r="C272" s="217" t="s">
        <v>19</v>
      </c>
      <c r="D272" s="496">
        <f>現業務調査!Y132</f>
        <v>0</v>
      </c>
      <c r="K272" s="337"/>
      <c r="L272" s="338"/>
      <c r="M272" s="70"/>
      <c r="N272" s="217" t="s">
        <v>19</v>
      </c>
      <c r="O272" s="509">
        <v>1</v>
      </c>
      <c r="P272" s="285">
        <f>MAX(D272:J272)*O272</f>
        <v>0</v>
      </c>
    </row>
    <row r="273" spans="2:17" ht="36">
      <c r="B273" s="70"/>
      <c r="C273" s="217" t="s">
        <v>699</v>
      </c>
      <c r="D273" s="496">
        <f>(現業務調査!T139+(導入後効果予測!Y29*2))/3</f>
        <v>0</v>
      </c>
      <c r="E273" t="s">
        <v>698</v>
      </c>
      <c r="K273" s="337"/>
      <c r="L273" s="338"/>
      <c r="M273" s="70"/>
      <c r="N273" s="217" t="s">
        <v>701</v>
      </c>
      <c r="O273" s="304"/>
      <c r="P273" s="256">
        <f>(導入後効果予測!AD28+(導入後効果予測!AD29*2))/3</f>
        <v>0</v>
      </c>
    </row>
    <row r="274" spans="2:17" ht="27">
      <c r="B274" s="70"/>
      <c r="C274" s="216" t="s">
        <v>20</v>
      </c>
      <c r="D274" s="496">
        <v>0</v>
      </c>
      <c r="K274" s="337"/>
      <c r="L274" s="338"/>
      <c r="M274" s="70"/>
      <c r="N274" s="216" t="s">
        <v>20</v>
      </c>
      <c r="O274" s="509">
        <v>0.5</v>
      </c>
      <c r="P274" s="285">
        <f>MAX(D274:J274)*O274</f>
        <v>0</v>
      </c>
    </row>
    <row r="275" spans="2:17" ht="27">
      <c r="B275" s="70"/>
      <c r="C275" s="216" t="s">
        <v>197</v>
      </c>
      <c r="D275" s="496">
        <v>0</v>
      </c>
      <c r="K275" s="337"/>
      <c r="L275" s="338"/>
      <c r="M275" s="70"/>
      <c r="N275" s="216" t="s">
        <v>197</v>
      </c>
      <c r="O275" s="509">
        <v>0.5</v>
      </c>
      <c r="P275" s="285">
        <f>MAX(D275:J275)*O275</f>
        <v>0</v>
      </c>
    </row>
    <row r="276" spans="2:17" ht="27.75" thickBot="1">
      <c r="B276" s="70"/>
      <c r="C276" s="218" t="s">
        <v>283</v>
      </c>
      <c r="D276" s="497">
        <v>0</v>
      </c>
      <c r="K276" s="337"/>
      <c r="L276" s="338"/>
      <c r="M276" s="70"/>
      <c r="N276" s="260" t="s">
        <v>21</v>
      </c>
      <c r="O276" s="510">
        <v>0</v>
      </c>
      <c r="P276" s="285">
        <f>MAX(D276:J276)*O276</f>
        <v>0</v>
      </c>
    </row>
    <row r="277" spans="2:17" ht="30" customHeight="1">
      <c r="B277" s="70"/>
      <c r="C277" s="219" t="s">
        <v>22</v>
      </c>
      <c r="D277" s="282">
        <f>SUM(D272:D276)</f>
        <v>0</v>
      </c>
      <c r="K277" s="337"/>
      <c r="L277" s="338"/>
      <c r="M277" s="70"/>
      <c r="N277" s="219" t="s">
        <v>22</v>
      </c>
      <c r="O277" s="308"/>
      <c r="P277" s="282">
        <f>SUM(P272:P276)</f>
        <v>0</v>
      </c>
    </row>
    <row r="278" spans="2:17" ht="14.25" thickBot="1">
      <c r="B278" s="15"/>
      <c r="C278" s="270" t="s">
        <v>300</v>
      </c>
      <c r="D278" s="263">
        <f>D277*基礎情報!$Q$4</f>
        <v>0</v>
      </c>
      <c r="K278" s="337"/>
      <c r="L278" s="338"/>
      <c r="M278" s="15"/>
      <c r="N278" s="270" t="s">
        <v>300</v>
      </c>
      <c r="O278" s="306"/>
      <c r="P278" s="263">
        <f>P277*基礎情報!$Q$4</f>
        <v>0</v>
      </c>
    </row>
    <row r="279" spans="2:17">
      <c r="B279" s="67" t="s">
        <v>426</v>
      </c>
      <c r="C279" s="38"/>
      <c r="D279" s="71"/>
      <c r="K279" s="337"/>
      <c r="L279" s="338"/>
      <c r="M279" s="67" t="s">
        <v>426</v>
      </c>
      <c r="N279" s="38"/>
      <c r="O279" s="277"/>
      <c r="P279" s="71"/>
    </row>
    <row r="280" spans="2:17" ht="27">
      <c r="B280" s="70"/>
      <c r="C280" s="258" t="s">
        <v>450</v>
      </c>
      <c r="D280" s="504">
        <v>0</v>
      </c>
      <c r="K280" s="337"/>
      <c r="L280" s="338"/>
      <c r="M280" s="70"/>
      <c r="N280" s="258" t="s">
        <v>450</v>
      </c>
      <c r="O280" s="509">
        <v>1</v>
      </c>
      <c r="P280" s="255">
        <f>MAX(D280:J280)*O280</f>
        <v>0</v>
      </c>
    </row>
    <row r="281" spans="2:17" ht="30" customHeight="1" thickBot="1">
      <c r="B281" s="70"/>
      <c r="C281" s="221" t="s">
        <v>30</v>
      </c>
      <c r="D281" s="500">
        <f>$D$280*基礎情報!$M$14</f>
        <v>0</v>
      </c>
      <c r="K281" s="337"/>
      <c r="L281" s="338"/>
      <c r="M281" s="70"/>
      <c r="N281" s="259" t="s">
        <v>30</v>
      </c>
      <c r="O281" s="510">
        <v>0</v>
      </c>
      <c r="P281" s="424">
        <f>MAX(D281:J281)*O281</f>
        <v>0</v>
      </c>
    </row>
    <row r="282" spans="2:17" ht="30" customHeight="1" thickBot="1">
      <c r="B282" s="15"/>
      <c r="C282" s="249" t="s">
        <v>23</v>
      </c>
      <c r="D282" s="426">
        <f>SUM(D281:D281)</f>
        <v>0</v>
      </c>
      <c r="K282" s="337"/>
      <c r="L282" s="338"/>
      <c r="M282" s="15"/>
      <c r="N282" s="249" t="s">
        <v>23</v>
      </c>
      <c r="O282" s="307"/>
      <c r="P282" s="426">
        <f>SUM(P281:P281)</f>
        <v>0</v>
      </c>
    </row>
    <row r="283" spans="2:17" ht="8.1" customHeight="1">
      <c r="K283" s="337"/>
      <c r="L283" s="338"/>
    </row>
    <row r="284" spans="2:17" ht="14.25" thickBot="1">
      <c r="B284" s="27" t="s">
        <v>25</v>
      </c>
      <c r="C284" s="29"/>
      <c r="D284" s="28"/>
      <c r="E284" s="28"/>
      <c r="F284" s="28"/>
      <c r="K284" s="337"/>
      <c r="L284" s="338"/>
      <c r="M284" s="27" t="s">
        <v>25</v>
      </c>
      <c r="N284" s="29"/>
      <c r="O284" s="28"/>
      <c r="P284" s="28"/>
      <c r="Q284" s="28"/>
    </row>
    <row r="285" spans="2:17" ht="8.1" customHeight="1" thickBot="1">
      <c r="K285" s="337"/>
      <c r="L285" s="338"/>
      <c r="O285"/>
    </row>
    <row r="286" spans="2:17" ht="23.1" customHeight="1">
      <c r="C286" s="228" t="s">
        <v>31</v>
      </c>
      <c r="D286" s="284">
        <f>SUMPRODUCT($D$268,$D$277)</f>
        <v>0</v>
      </c>
      <c r="K286" s="337"/>
      <c r="L286" s="338"/>
      <c r="N286" s="265" t="s">
        <v>31</v>
      </c>
      <c r="O286" s="295"/>
      <c r="P286" s="309">
        <f>P277</f>
        <v>0</v>
      </c>
    </row>
    <row r="287" spans="2:17" ht="14.25" thickBot="1">
      <c r="C287" s="229" t="s">
        <v>32</v>
      </c>
      <c r="D287" s="269">
        <f>SUMPRODUCT($D$268,$D$278)</f>
        <v>0</v>
      </c>
      <c r="K287" s="337"/>
      <c r="L287" s="338"/>
      <c r="N287" s="312" t="s">
        <v>32</v>
      </c>
      <c r="O287" s="297"/>
      <c r="P287" s="318">
        <f>P278</f>
        <v>0</v>
      </c>
    </row>
    <row r="288" spans="2:17" ht="8.1" customHeight="1">
      <c r="C288" s="208"/>
      <c r="D288" s="207"/>
      <c r="K288" s="337"/>
      <c r="L288" s="338"/>
      <c r="N288" s="208"/>
      <c r="O288" s="207"/>
    </row>
    <row r="289" spans="2:17" ht="14.25" thickBot="1">
      <c r="B289" s="27" t="s">
        <v>26</v>
      </c>
      <c r="C289" s="29"/>
      <c r="D289" s="28"/>
      <c r="E289" s="28"/>
      <c r="F289" s="28"/>
      <c r="K289" s="337"/>
      <c r="L289" s="338"/>
      <c r="M289" s="27" t="s">
        <v>26</v>
      </c>
      <c r="N289" s="29"/>
      <c r="O289" s="28"/>
      <c r="P289" s="28"/>
      <c r="Q289" s="28"/>
    </row>
    <row r="290" spans="2:17" ht="8.1" customHeight="1" thickBot="1">
      <c r="K290" s="337"/>
      <c r="L290" s="338"/>
      <c r="O290"/>
    </row>
    <row r="291" spans="2:17" ht="23.1" customHeight="1" thickBot="1">
      <c r="C291" s="227" t="s">
        <v>33</v>
      </c>
      <c r="D291" s="428">
        <f>SUMPRODUCT($D$268,$D$282)</f>
        <v>0</v>
      </c>
      <c r="K291" s="337"/>
      <c r="L291" s="338"/>
      <c r="N291" s="298" t="s">
        <v>33</v>
      </c>
      <c r="O291" s="299"/>
      <c r="P291" s="427">
        <f>P282</f>
        <v>0</v>
      </c>
    </row>
    <row r="292" spans="2:17" ht="8.1" customHeight="1">
      <c r="K292" s="337"/>
      <c r="L292" s="338"/>
      <c r="O292"/>
    </row>
    <row r="293" spans="2:17" ht="14.25" thickBot="1">
      <c r="B293" s="27" t="s">
        <v>27</v>
      </c>
      <c r="C293" s="29"/>
      <c r="D293" s="28"/>
      <c r="E293" s="28"/>
      <c r="F293" s="28"/>
      <c r="K293" s="337"/>
      <c r="L293" s="338"/>
      <c r="M293" s="27" t="s">
        <v>27</v>
      </c>
      <c r="N293" s="29"/>
      <c r="O293" s="28"/>
      <c r="P293" s="28"/>
      <c r="Q293" s="28"/>
    </row>
    <row r="294" spans="2:17" ht="8.1" customHeight="1" thickBot="1">
      <c r="K294" s="337"/>
      <c r="L294" s="338"/>
      <c r="O294"/>
    </row>
    <row r="295" spans="2:17" ht="23.1" customHeight="1" thickBot="1">
      <c r="C295" s="250" t="s">
        <v>34</v>
      </c>
      <c r="D295" s="251">
        <f>業務書類量調査!$U$29</f>
        <v>0</v>
      </c>
      <c r="K295" s="337"/>
      <c r="L295" s="338"/>
      <c r="N295" s="320" t="s">
        <v>34</v>
      </c>
      <c r="O295" s="299"/>
      <c r="P295" s="319">
        <f>業務書類量調査!$U$29</f>
        <v>0</v>
      </c>
    </row>
    <row r="296" spans="2:17" ht="8.1" customHeight="1" thickBot="1">
      <c r="K296" s="337"/>
      <c r="L296" s="338"/>
    </row>
    <row r="297" spans="2:17" ht="23.1" customHeight="1">
      <c r="C297" s="222" t="s">
        <v>207</v>
      </c>
      <c r="D297" s="565">
        <f>$D$295*D268</f>
        <v>0</v>
      </c>
      <c r="K297" s="337"/>
      <c r="L297" s="338"/>
    </row>
    <row r="298" spans="2:17" ht="23.1" customHeight="1">
      <c r="C298" s="226" t="s">
        <v>427</v>
      </c>
      <c r="D298" s="566">
        <f>D297*D277</f>
        <v>0</v>
      </c>
      <c r="K298" s="337"/>
      <c r="L298" s="338"/>
    </row>
    <row r="299" spans="2:17" s="543" customFormat="1" ht="23.1" hidden="1" customHeight="1" outlineLevel="1">
      <c r="C299" s="540" t="s">
        <v>825</v>
      </c>
      <c r="D299" s="569">
        <f>INT(D298/(60*基礎情報!$J$5))</f>
        <v>0</v>
      </c>
      <c r="K299" s="544"/>
      <c r="L299" s="545"/>
      <c r="O299" s="546"/>
    </row>
    <row r="300" spans="2:17" s="543" customFormat="1" ht="23.1" hidden="1" customHeight="1" outlineLevel="1">
      <c r="C300" s="540" t="s">
        <v>428</v>
      </c>
      <c r="D300" s="569">
        <f>INT(D298/60-8*D299)</f>
        <v>0</v>
      </c>
      <c r="K300" s="544"/>
      <c r="L300" s="545"/>
      <c r="O300" s="546"/>
    </row>
    <row r="301" spans="2:17" s="543" customFormat="1" ht="23.1" hidden="1" customHeight="1" outlineLevel="1">
      <c r="C301" s="540" t="s">
        <v>523</v>
      </c>
      <c r="D301" s="569">
        <f>ROUND(MOD(D298,60),0)</f>
        <v>0</v>
      </c>
      <c r="K301" s="544"/>
      <c r="L301" s="545"/>
      <c r="O301" s="546"/>
    </row>
    <row r="302" spans="2:17" ht="23.1" customHeight="1" collapsed="1">
      <c r="C302" s="568" t="s">
        <v>428</v>
      </c>
      <c r="D302" s="567" t="str">
        <f>IF(D299=0,"",D299&amp;"日")&amp;IF(D300=0,"",D300&amp;"時間")&amp;D301&amp;"分"</f>
        <v>0分</v>
      </c>
      <c r="K302" s="337"/>
      <c r="L302" s="338"/>
    </row>
    <row r="303" spans="2:17" ht="23.1" customHeight="1">
      <c r="C303" s="226" t="s">
        <v>425</v>
      </c>
      <c r="D303" s="247">
        <f>D298*基礎情報!$Q$4</f>
        <v>0</v>
      </c>
      <c r="K303" s="337"/>
      <c r="L303" s="338"/>
    </row>
    <row r="304" spans="2:17" ht="23.1" customHeight="1">
      <c r="C304" s="226" t="s">
        <v>426</v>
      </c>
      <c r="D304" s="247">
        <f>D297*D282</f>
        <v>0</v>
      </c>
      <c r="K304" s="337"/>
      <c r="L304" s="338"/>
    </row>
    <row r="305" spans="2:17" ht="23.1" customHeight="1" thickBot="1">
      <c r="C305" s="223" t="s">
        <v>429</v>
      </c>
      <c r="D305" s="230">
        <f>SUM(D303:D304)</f>
        <v>0</v>
      </c>
      <c r="K305" s="337"/>
      <c r="L305" s="338"/>
    </row>
    <row r="306" spans="2:17" ht="8.1" customHeight="1">
      <c r="K306" s="337"/>
      <c r="L306" s="338"/>
    </row>
    <row r="307" spans="2:17" ht="14.25" thickBot="1">
      <c r="B307" s="27" t="s">
        <v>28</v>
      </c>
      <c r="C307" s="29"/>
      <c r="D307" s="28"/>
      <c r="E307" s="28"/>
      <c r="F307" s="28"/>
      <c r="K307" s="337"/>
      <c r="L307" s="338"/>
    </row>
    <row r="308" spans="2:17" ht="8.1" customHeight="1" thickBot="1">
      <c r="K308" s="337"/>
      <c r="L308" s="338"/>
    </row>
    <row r="309" spans="2:17" ht="23.1" customHeight="1">
      <c r="C309" s="233" t="s">
        <v>207</v>
      </c>
      <c r="D309" s="236">
        <f>SUM(D297:D297)</f>
        <v>0</v>
      </c>
      <c r="K309" s="337"/>
      <c r="L309" s="338"/>
      <c r="N309" s="300" t="s">
        <v>207</v>
      </c>
      <c r="O309" s="295"/>
      <c r="P309" s="313">
        <f>P295</f>
        <v>0</v>
      </c>
    </row>
    <row r="310" spans="2:17" ht="23.1" customHeight="1">
      <c r="C310" s="234" t="s">
        <v>427</v>
      </c>
      <c r="D310" s="237">
        <f>SUM(D298:D298)</f>
        <v>0</v>
      </c>
      <c r="K310" s="337"/>
      <c r="L310" s="338"/>
      <c r="N310" s="301" t="s">
        <v>427</v>
      </c>
      <c r="O310" s="302"/>
      <c r="P310" s="560">
        <f>P286*P295</f>
        <v>0</v>
      </c>
    </row>
    <row r="311" spans="2:17" s="543" customFormat="1" ht="23.1" hidden="1" customHeight="1" outlineLevel="1">
      <c r="C311" s="540" t="s">
        <v>825</v>
      </c>
      <c r="D311" s="564">
        <f>INT(D310/(60*基礎情報!$J$5))</f>
        <v>0</v>
      </c>
      <c r="K311" s="544"/>
      <c r="L311" s="545"/>
      <c r="N311" s="945" t="s">
        <v>825</v>
      </c>
      <c r="O311" s="946"/>
      <c r="P311" s="542">
        <f>INT(P310/(60*基礎情報!$J$5))</f>
        <v>0</v>
      </c>
    </row>
    <row r="312" spans="2:17" s="543" customFormat="1" ht="23.1" hidden="1" customHeight="1" outlineLevel="1">
      <c r="C312" s="540" t="s">
        <v>428</v>
      </c>
      <c r="D312" s="564">
        <f>INT(D310/60-8*D311)</f>
        <v>0</v>
      </c>
      <c r="K312" s="544"/>
      <c r="L312" s="545"/>
      <c r="N312" s="945" t="s">
        <v>428</v>
      </c>
      <c r="O312" s="946"/>
      <c r="P312" s="542">
        <f>INT(P310/60-8*P311)</f>
        <v>0</v>
      </c>
    </row>
    <row r="313" spans="2:17" s="543" customFormat="1" ht="23.1" hidden="1" customHeight="1" outlineLevel="1">
      <c r="C313" s="540" t="s">
        <v>523</v>
      </c>
      <c r="D313" s="564">
        <f>ROUND(MOD(D310,60),0)</f>
        <v>0</v>
      </c>
      <c r="K313" s="544"/>
      <c r="L313" s="545"/>
      <c r="N313" s="945" t="s">
        <v>523</v>
      </c>
      <c r="O313" s="946"/>
      <c r="P313" s="542">
        <f>ROUND(MOD(P310,60),0)</f>
        <v>0</v>
      </c>
    </row>
    <row r="314" spans="2:17" ht="23.1" customHeight="1" collapsed="1">
      <c r="C314" s="234" t="s">
        <v>428</v>
      </c>
      <c r="D314" s="238" t="str">
        <f>IF(D311=0,"",D311&amp;"日")&amp;IF(D312=0,"",D312&amp;"時間")&amp;D313&amp;"分"</f>
        <v>0分</v>
      </c>
      <c r="E314" s="50" t="e">
        <f>"※出来高担当者が "&amp;基礎情報!$U$7&amp;" 人の場合、1人当たり出来高調書にかかる人日は、約 "&amp;ROUNDUP((D310/12)/基礎情報!$U$7/60/基礎情報!$J$5,1)&amp;" 人日"</f>
        <v>#DIV/0!</v>
      </c>
      <c r="K314" s="337"/>
      <c r="L314" s="338"/>
      <c r="N314" s="301" t="s">
        <v>428</v>
      </c>
      <c r="O314" s="302"/>
      <c r="P314" s="314" t="str">
        <f>IF(P311=0,"",P311&amp;"日")&amp;IF(P312=0,"",P312&amp;"時間")&amp;P313&amp;"分"</f>
        <v>0分</v>
      </c>
      <c r="Q314" s="50" t="e">
        <f>"※出来高担当者が "&amp;基礎情報!$U$7&amp;" 人の場合、1人当たり出来高調書にかかる人日は、約 "&amp;ROUNDUP((P310/12)/基礎情報!$U$7/60/基礎情報!$J$5,1)&amp;" 人日"</f>
        <v>#DIV/0!</v>
      </c>
    </row>
    <row r="315" spans="2:17" ht="23.1" customHeight="1">
      <c r="C315" s="234" t="s">
        <v>425</v>
      </c>
      <c r="D315" s="241">
        <f>SUM(D303:D303)</f>
        <v>0</v>
      </c>
      <c r="K315" s="337"/>
      <c r="L315" s="338"/>
      <c r="N315" s="301" t="s">
        <v>425</v>
      </c>
      <c r="O315" s="302"/>
      <c r="P315" s="315">
        <f>P310*基礎情報!$Q$4</f>
        <v>0</v>
      </c>
      <c r="Q315" s="50"/>
    </row>
    <row r="316" spans="2:17" ht="23.1" customHeight="1">
      <c r="C316" s="234" t="s">
        <v>426</v>
      </c>
      <c r="D316" s="239">
        <f>SUM(D304:D304)</f>
        <v>0</v>
      </c>
      <c r="K316" s="337"/>
      <c r="L316" s="338"/>
      <c r="N316" s="301" t="s">
        <v>426</v>
      </c>
      <c r="O316" s="302"/>
      <c r="P316" s="316">
        <f>P282*P295</f>
        <v>0</v>
      </c>
    </row>
    <row r="317" spans="2:17" ht="23.1" customHeight="1" thickBot="1">
      <c r="C317" s="235" t="s">
        <v>429</v>
      </c>
      <c r="D317" s="240">
        <f>SUM(D305:D305)</f>
        <v>0</v>
      </c>
      <c r="K317" s="337"/>
      <c r="L317" s="338"/>
      <c r="N317" s="303" t="s">
        <v>429</v>
      </c>
      <c r="O317" s="297"/>
      <c r="P317" s="317">
        <f>SUM(P315:P316)</f>
        <v>0</v>
      </c>
    </row>
    <row r="318" spans="2:17" ht="8.1" customHeight="1">
      <c r="K318" s="337"/>
      <c r="L318" s="338"/>
    </row>
    <row r="319" spans="2:17" ht="17.25">
      <c r="B319" s="947" t="s">
        <v>654</v>
      </c>
      <c r="C319" s="948"/>
      <c r="D319" s="948"/>
      <c r="E319" s="948"/>
      <c r="F319" s="948"/>
      <c r="G319" s="948"/>
      <c r="H319" s="948"/>
      <c r="I319" s="948"/>
      <c r="J319" s="949"/>
      <c r="K319" s="337"/>
      <c r="L319" s="338"/>
      <c r="M319" s="947" t="s">
        <v>654</v>
      </c>
      <c r="N319" s="948"/>
      <c r="O319" s="948"/>
      <c r="P319" s="948"/>
      <c r="Q319" s="949"/>
    </row>
    <row r="320" spans="2:17" ht="8.1" customHeight="1">
      <c r="K320" s="337"/>
      <c r="L320" s="338"/>
      <c r="O320"/>
    </row>
    <row r="321" spans="2:17" ht="14.25" thickBot="1">
      <c r="B321" s="27" t="s">
        <v>35</v>
      </c>
      <c r="C321" s="29"/>
      <c r="D321" s="28"/>
      <c r="E321" s="28"/>
      <c r="F321" s="28"/>
      <c r="K321" s="337"/>
      <c r="L321" s="338"/>
      <c r="M321" s="27" t="s">
        <v>35</v>
      </c>
      <c r="N321" s="29"/>
      <c r="O321" s="28"/>
      <c r="P321" s="28"/>
      <c r="Q321" s="28"/>
    </row>
    <row r="322" spans="2:17" ht="8.1" customHeight="1">
      <c r="K322" s="337"/>
      <c r="L322" s="338"/>
    </row>
    <row r="323" spans="2:17" ht="27">
      <c r="B323" s="209" t="s">
        <v>818</v>
      </c>
      <c r="C323" s="214"/>
      <c r="D323" s="211" t="s">
        <v>430</v>
      </c>
      <c r="E323" s="211" t="s">
        <v>448</v>
      </c>
      <c r="F323" s="211" t="s">
        <v>580</v>
      </c>
      <c r="K323" s="337"/>
      <c r="L323" s="338"/>
      <c r="M323" s="209" t="s">
        <v>818</v>
      </c>
      <c r="N323" s="214"/>
      <c r="O323" s="950" t="s">
        <v>163</v>
      </c>
      <c r="P323" s="210" t="s">
        <v>686</v>
      </c>
    </row>
    <row r="324" spans="2:17">
      <c r="B324" s="212" t="s">
        <v>424</v>
      </c>
      <c r="C324" s="213"/>
      <c r="D324" s="215">
        <f>現業務調査!Y145</f>
        <v>0</v>
      </c>
      <c r="E324" s="215">
        <f>現業務調査!Y146</f>
        <v>0</v>
      </c>
      <c r="F324" s="215">
        <f>現業務調査!Y147</f>
        <v>1</v>
      </c>
      <c r="K324" s="337"/>
      <c r="L324" s="338"/>
      <c r="M324" s="212"/>
      <c r="N324" s="213"/>
      <c r="O324" s="951"/>
      <c r="P324" s="215"/>
    </row>
    <row r="325" spans="2:17" ht="8.1" customHeight="1">
      <c r="D325" s="127"/>
      <c r="K325" s="337"/>
      <c r="L325" s="338"/>
    </row>
    <row r="326" spans="2:17">
      <c r="B326" s="67" t="s">
        <v>109</v>
      </c>
      <c r="C326" s="68"/>
      <c r="D326" s="68"/>
      <c r="E326" s="68"/>
      <c r="F326" s="69"/>
      <c r="K326" s="337"/>
      <c r="L326" s="338"/>
      <c r="M326" s="67" t="s">
        <v>109</v>
      </c>
      <c r="N326" s="68"/>
      <c r="O326" s="286"/>
      <c r="P326" s="69"/>
    </row>
    <row r="327" spans="2:17" ht="27">
      <c r="B327" s="70"/>
      <c r="C327" s="216" t="s">
        <v>44</v>
      </c>
      <c r="D327" s="505">
        <v>0</v>
      </c>
      <c r="E327" s="505">
        <v>0</v>
      </c>
      <c r="F327" s="505">
        <v>0</v>
      </c>
      <c r="K327" s="337"/>
      <c r="L327" s="338"/>
      <c r="M327" s="70"/>
      <c r="N327" s="216" t="s">
        <v>44</v>
      </c>
      <c r="O327" s="509">
        <v>0</v>
      </c>
      <c r="P327" s="285">
        <f>MAX(D327:J327)*O327</f>
        <v>0</v>
      </c>
    </row>
    <row r="328" spans="2:17" ht="27">
      <c r="B328" s="70"/>
      <c r="C328" s="216" t="s">
        <v>45</v>
      </c>
      <c r="D328" s="496">
        <v>0</v>
      </c>
      <c r="E328" s="496">
        <v>0</v>
      </c>
      <c r="F328" s="496">
        <v>0</v>
      </c>
      <c r="K328" s="337"/>
      <c r="L328" s="338"/>
      <c r="M328" s="70"/>
      <c r="N328" s="216" t="s">
        <v>45</v>
      </c>
      <c r="O328" s="509">
        <v>1</v>
      </c>
      <c r="P328" s="256">
        <f>MAX(D328:J328)*O328</f>
        <v>0</v>
      </c>
    </row>
    <row r="329" spans="2:17" ht="27">
      <c r="B329" s="70"/>
      <c r="C329" s="217" t="s">
        <v>46</v>
      </c>
      <c r="D329" s="959">
        <f>現業務調査!S155</f>
        <v>0</v>
      </c>
      <c r="E329" s="960"/>
      <c r="F329" s="961"/>
      <c r="K329" s="337"/>
      <c r="L329" s="338"/>
      <c r="M329" s="70"/>
      <c r="N329" s="217" t="s">
        <v>46</v>
      </c>
      <c r="O329" s="304"/>
      <c r="P329" s="256">
        <f>導入後効果予測!$AD$35</f>
        <v>0</v>
      </c>
    </row>
    <row r="330" spans="2:17" ht="27">
      <c r="B330" s="70"/>
      <c r="C330" s="216" t="s">
        <v>611</v>
      </c>
      <c r="D330" s="496">
        <v>0</v>
      </c>
      <c r="E330" s="496">
        <v>0</v>
      </c>
      <c r="F330" s="496">
        <v>0</v>
      </c>
      <c r="K330" s="337"/>
      <c r="L330" s="338"/>
      <c r="M330" s="70"/>
      <c r="N330" s="216" t="s">
        <v>197</v>
      </c>
      <c r="O330" s="509">
        <v>1</v>
      </c>
      <c r="P330" s="285">
        <f>MAX(D330:J330)*O330</f>
        <v>0</v>
      </c>
    </row>
    <row r="331" spans="2:17" ht="27">
      <c r="B331" s="70"/>
      <c r="C331" s="257" t="s">
        <v>614</v>
      </c>
      <c r="D331" s="496">
        <v>0</v>
      </c>
      <c r="E331" s="496">
        <v>0</v>
      </c>
      <c r="F331" s="496">
        <v>0</v>
      </c>
      <c r="K331" s="337"/>
      <c r="L331" s="338"/>
      <c r="M331" s="70"/>
      <c r="N331" s="257" t="s">
        <v>198</v>
      </c>
      <c r="O331" s="509">
        <v>1</v>
      </c>
      <c r="P331" s="256">
        <f>MAX(D331:J331)*O331</f>
        <v>0</v>
      </c>
    </row>
    <row r="332" spans="2:17" ht="27">
      <c r="B332" s="70"/>
      <c r="C332" s="216" t="s">
        <v>612</v>
      </c>
      <c r="D332" s="496">
        <v>0</v>
      </c>
      <c r="E332" s="496">
        <v>0</v>
      </c>
      <c r="F332" s="496">
        <v>0</v>
      </c>
      <c r="K332" s="337"/>
      <c r="L332" s="338"/>
      <c r="M332" s="70"/>
      <c r="N332" s="216" t="s">
        <v>47</v>
      </c>
      <c r="O332" s="509">
        <v>0</v>
      </c>
      <c r="P332" s="285">
        <f>MAX(D332:J332)*O332</f>
        <v>0</v>
      </c>
    </row>
    <row r="333" spans="2:17" ht="27.75" thickBot="1">
      <c r="B333" s="70"/>
      <c r="C333" s="260" t="s">
        <v>613</v>
      </c>
      <c r="D333" s="506">
        <v>0</v>
      </c>
      <c r="E333" s="506">
        <v>0</v>
      </c>
      <c r="F333" s="506">
        <v>0</v>
      </c>
      <c r="K333" s="337"/>
      <c r="L333" s="338"/>
      <c r="M333" s="70"/>
      <c r="N333" s="260" t="s">
        <v>48</v>
      </c>
      <c r="O333" s="510">
        <v>0</v>
      </c>
      <c r="P333" s="256">
        <f>MAX(D333:J333)*O333</f>
        <v>0</v>
      </c>
    </row>
    <row r="334" spans="2:17" ht="30" customHeight="1">
      <c r="B334" s="70"/>
      <c r="C334" s="219" t="s">
        <v>22</v>
      </c>
      <c r="D334" s="281">
        <f>SUM(D327:D328)+$D$329+SUM(D330:D333)</f>
        <v>0</v>
      </c>
      <c r="E334" s="281">
        <f>SUM(E327:E328)+$D$329+SUM(E330:E333)</f>
        <v>0</v>
      </c>
      <c r="F334" s="281">
        <f>SUM(F327:F328)+$D$329+SUM(F330:F333)</f>
        <v>0</v>
      </c>
      <c r="K334" s="337"/>
      <c r="L334" s="338"/>
      <c r="M334" s="70"/>
      <c r="N334" s="219" t="s">
        <v>22</v>
      </c>
      <c r="O334" s="308"/>
      <c r="P334" s="282">
        <f>SUM(P327:P333)</f>
        <v>0</v>
      </c>
    </row>
    <row r="335" spans="2:17" ht="14.25" thickBot="1">
      <c r="B335" s="15"/>
      <c r="C335" s="270" t="s">
        <v>300</v>
      </c>
      <c r="D335" s="262">
        <f>D334*基礎情報!$Q$4</f>
        <v>0</v>
      </c>
      <c r="E335" s="262">
        <f>E334*基礎情報!$Q$4</f>
        <v>0</v>
      </c>
      <c r="F335" s="263">
        <f>F334*基礎情報!$Q$4</f>
        <v>0</v>
      </c>
      <c r="K335" s="337"/>
      <c r="L335" s="338"/>
      <c r="M335" s="15"/>
      <c r="N335" s="270" t="s">
        <v>300</v>
      </c>
      <c r="O335" s="306"/>
      <c r="P335" s="263">
        <f>P334*基礎情報!$Q$4</f>
        <v>0</v>
      </c>
    </row>
    <row r="336" spans="2:17">
      <c r="B336" s="67" t="s">
        <v>426</v>
      </c>
      <c r="C336" s="38"/>
      <c r="D336" s="38"/>
      <c r="E336" s="38"/>
      <c r="F336" s="71"/>
      <c r="K336" s="337"/>
      <c r="L336" s="338"/>
      <c r="M336" s="67" t="s">
        <v>426</v>
      </c>
      <c r="N336" s="38"/>
      <c r="O336" s="277"/>
      <c r="P336" s="71"/>
    </row>
    <row r="337" spans="2:17" ht="27">
      <c r="B337" s="70"/>
      <c r="C337" s="258" t="s">
        <v>450</v>
      </c>
      <c r="D337" s="956">
        <v>0</v>
      </c>
      <c r="E337" s="957"/>
      <c r="F337" s="958"/>
      <c r="K337" s="337"/>
      <c r="L337" s="338"/>
      <c r="M337" s="70"/>
      <c r="N337" s="258" t="s">
        <v>450</v>
      </c>
      <c r="O337" s="509">
        <v>0</v>
      </c>
      <c r="P337" s="255">
        <f>MAX(D337:J337)*O337</f>
        <v>0</v>
      </c>
    </row>
    <row r="338" spans="2:17" ht="30" customHeight="1" thickBot="1">
      <c r="B338" s="70"/>
      <c r="C338" s="259" t="s">
        <v>36</v>
      </c>
      <c r="D338" s="507">
        <f>$D$337*基礎情報!$M$14</f>
        <v>0</v>
      </c>
      <c r="E338" s="507">
        <f>$D$337*基礎情報!$M$14</f>
        <v>0</v>
      </c>
      <c r="F338" s="507">
        <f>$D$337*基礎情報!$M$14</f>
        <v>0</v>
      </c>
      <c r="K338" s="337"/>
      <c r="L338" s="338"/>
      <c r="M338" s="70"/>
      <c r="N338" s="259" t="s">
        <v>36</v>
      </c>
      <c r="O338" s="510">
        <v>0</v>
      </c>
      <c r="P338" s="424">
        <f>MAX(D338:J338)*O338</f>
        <v>0</v>
      </c>
    </row>
    <row r="339" spans="2:17" ht="30" customHeight="1" thickBot="1">
      <c r="B339" s="15"/>
      <c r="C339" s="249" t="s">
        <v>23</v>
      </c>
      <c r="D339" s="425">
        <f>SUM(D338:D338)</f>
        <v>0</v>
      </c>
      <c r="E339" s="425">
        <f>SUM(E338:E338)</f>
        <v>0</v>
      </c>
      <c r="F339" s="425">
        <f>SUM(F338:F338)</f>
        <v>0</v>
      </c>
      <c r="K339" s="337"/>
      <c r="L339" s="338"/>
      <c r="M339" s="15"/>
      <c r="N339" s="249" t="s">
        <v>23</v>
      </c>
      <c r="O339" s="307"/>
      <c r="P339" s="426">
        <f>SUM(P338:P338)</f>
        <v>0</v>
      </c>
    </row>
    <row r="340" spans="2:17" ht="8.1" customHeight="1">
      <c r="K340" s="337"/>
      <c r="L340" s="338"/>
    </row>
    <row r="341" spans="2:17" ht="14.25" thickBot="1">
      <c r="B341" s="27" t="s">
        <v>37</v>
      </c>
      <c r="C341" s="29"/>
      <c r="D341" s="28"/>
      <c r="E341" s="28"/>
      <c r="F341" s="28"/>
      <c r="K341" s="337"/>
      <c r="L341" s="338"/>
      <c r="M341" s="27" t="s">
        <v>37</v>
      </c>
      <c r="N341" s="29"/>
      <c r="O341" s="28"/>
      <c r="P341" s="28"/>
      <c r="Q341" s="28"/>
    </row>
    <row r="342" spans="2:17" ht="8.1" customHeight="1" thickBot="1">
      <c r="K342" s="337"/>
      <c r="L342" s="338"/>
      <c r="O342"/>
    </row>
    <row r="343" spans="2:17" ht="23.1" customHeight="1">
      <c r="C343" s="228" t="s">
        <v>38</v>
      </c>
      <c r="D343" s="284">
        <f>SUMPRODUCT($D$324:$F$324,$D$334:$F$334)</f>
        <v>0</v>
      </c>
      <c r="K343" s="337"/>
      <c r="L343" s="338"/>
      <c r="N343" s="265" t="s">
        <v>38</v>
      </c>
      <c r="O343" s="295"/>
      <c r="P343" s="309">
        <f>P334</f>
        <v>0</v>
      </c>
    </row>
    <row r="344" spans="2:17" ht="14.25" thickBot="1">
      <c r="C344" s="229" t="s">
        <v>39</v>
      </c>
      <c r="D344" s="269">
        <f>SUMPRODUCT($D$324:$F$324,$D$335:$F$335)</f>
        <v>0</v>
      </c>
      <c r="K344" s="337"/>
      <c r="L344" s="338"/>
      <c r="N344" s="312" t="s">
        <v>39</v>
      </c>
      <c r="O344" s="297"/>
      <c r="P344" s="318">
        <f>SUMPRODUCT($D$324:$F$324,$D$335:$F$335)</f>
        <v>0</v>
      </c>
    </row>
    <row r="345" spans="2:17" ht="8.1" customHeight="1">
      <c r="C345" s="208"/>
      <c r="D345" s="207"/>
      <c r="K345" s="337"/>
      <c r="L345" s="338"/>
      <c r="N345" s="208"/>
      <c r="O345" s="207"/>
    </row>
    <row r="346" spans="2:17" ht="14.25" thickBot="1">
      <c r="B346" s="27" t="s">
        <v>40</v>
      </c>
      <c r="C346" s="29"/>
      <c r="D346" s="28"/>
      <c r="E346" s="28"/>
      <c r="F346" s="28"/>
      <c r="K346" s="337"/>
      <c r="L346" s="338"/>
      <c r="M346" s="27" t="s">
        <v>40</v>
      </c>
      <c r="N346" s="29"/>
      <c r="O346" s="28"/>
      <c r="P346" s="28"/>
      <c r="Q346" s="28"/>
    </row>
    <row r="347" spans="2:17" ht="8.1" customHeight="1" thickBot="1">
      <c r="K347" s="337"/>
      <c r="L347" s="338"/>
      <c r="O347"/>
    </row>
    <row r="348" spans="2:17" ht="23.1" customHeight="1" thickBot="1">
      <c r="C348" s="227" t="s">
        <v>41</v>
      </c>
      <c r="D348" s="428">
        <f>SUMPRODUCT($D$324:$F$324,$D$339:$F$339)</f>
        <v>0</v>
      </c>
      <c r="K348" s="337"/>
      <c r="L348" s="338"/>
      <c r="N348" s="298" t="s">
        <v>41</v>
      </c>
      <c r="O348" s="299"/>
      <c r="P348" s="427">
        <f>P339</f>
        <v>0</v>
      </c>
    </row>
    <row r="349" spans="2:17" ht="8.1" customHeight="1">
      <c r="K349" s="337"/>
      <c r="L349" s="338"/>
      <c r="O349"/>
    </row>
    <row r="350" spans="2:17" ht="14.25" thickBot="1">
      <c r="B350" s="27" t="s">
        <v>42</v>
      </c>
      <c r="C350" s="29"/>
      <c r="D350" s="28"/>
      <c r="E350" s="28"/>
      <c r="F350" s="28"/>
      <c r="K350" s="337"/>
      <c r="L350" s="338"/>
      <c r="M350" s="27" t="s">
        <v>42</v>
      </c>
      <c r="N350" s="29"/>
      <c r="O350" s="28"/>
      <c r="P350" s="28"/>
      <c r="Q350" s="28"/>
    </row>
    <row r="351" spans="2:17" ht="8.1" customHeight="1" thickBot="1">
      <c r="K351" s="337"/>
      <c r="L351" s="338"/>
      <c r="O351"/>
    </row>
    <row r="352" spans="2:17" ht="23.1" customHeight="1" thickBot="1">
      <c r="C352" s="250" t="s">
        <v>34</v>
      </c>
      <c r="D352" s="251">
        <f>業務書類量調査!$U$29</f>
        <v>0</v>
      </c>
      <c r="K352" s="337"/>
      <c r="L352" s="338"/>
      <c r="N352" s="320" t="s">
        <v>34</v>
      </c>
      <c r="O352" s="299"/>
      <c r="P352" s="319">
        <f>業務書類量調査!$U$29</f>
        <v>0</v>
      </c>
    </row>
    <row r="353" spans="2:16" ht="8.1" customHeight="1" thickBot="1">
      <c r="K353" s="337"/>
      <c r="L353" s="338"/>
    </row>
    <row r="354" spans="2:16" ht="23.1" customHeight="1">
      <c r="C354" s="222" t="s">
        <v>207</v>
      </c>
      <c r="D354" s="242">
        <f>$D$352*D324</f>
        <v>0</v>
      </c>
      <c r="E354" s="242">
        <f>$D$352*E324</f>
        <v>0</v>
      </c>
      <c r="F354" s="243">
        <f>$D$352*F324</f>
        <v>0</v>
      </c>
      <c r="K354" s="337"/>
      <c r="L354" s="338"/>
    </row>
    <row r="355" spans="2:16" ht="23.1" customHeight="1">
      <c r="C355" s="226" t="s">
        <v>427</v>
      </c>
      <c r="D355" s="570">
        <f>D354*D334</f>
        <v>0</v>
      </c>
      <c r="E355" s="244">
        <f>E354*E334</f>
        <v>0</v>
      </c>
      <c r="F355" s="245">
        <f>F354*F334</f>
        <v>0</v>
      </c>
      <c r="K355" s="337"/>
      <c r="L355" s="338"/>
    </row>
    <row r="356" spans="2:16" s="543" customFormat="1" ht="23.1" hidden="1" customHeight="1" outlineLevel="1">
      <c r="C356" s="540" t="s">
        <v>825</v>
      </c>
      <c r="D356" s="541">
        <f>INT(D355/(60*基礎情報!$J$5))</f>
        <v>0</v>
      </c>
      <c r="E356" s="541">
        <f>INT(E355/(60*基礎情報!$J$5))</f>
        <v>0</v>
      </c>
      <c r="F356" s="542">
        <f>INT(F355/(60*基礎情報!$J$5))</f>
        <v>0</v>
      </c>
      <c r="K356" s="544"/>
      <c r="L356" s="545"/>
      <c r="O356" s="546"/>
    </row>
    <row r="357" spans="2:16" s="543" customFormat="1" ht="23.1" hidden="1" customHeight="1" outlineLevel="1">
      <c r="C357" s="540" t="s">
        <v>428</v>
      </c>
      <c r="D357" s="541">
        <f>INT(D355/60-8*D356)</f>
        <v>0</v>
      </c>
      <c r="E357" s="541">
        <f>INT(E355/60-8*E356)</f>
        <v>0</v>
      </c>
      <c r="F357" s="542">
        <f>INT(F355/60-8*F356)</f>
        <v>0</v>
      </c>
      <c r="K357" s="544"/>
      <c r="L357" s="545"/>
      <c r="O357" s="546"/>
    </row>
    <row r="358" spans="2:16" s="543" customFormat="1" ht="23.1" hidden="1" customHeight="1" outlineLevel="1">
      <c r="C358" s="540" t="s">
        <v>523</v>
      </c>
      <c r="D358" s="541">
        <f>ROUND(MOD(D355,60),0)</f>
        <v>0</v>
      </c>
      <c r="E358" s="541">
        <f>ROUND(MOD(E355,60),0)</f>
        <v>0</v>
      </c>
      <c r="F358" s="542">
        <f>ROUND(MOD(F355,60),0)</f>
        <v>0</v>
      </c>
      <c r="K358" s="544"/>
      <c r="L358" s="545"/>
      <c r="O358" s="546"/>
    </row>
    <row r="359" spans="2:16" ht="23.1" customHeight="1" collapsed="1">
      <c r="C359" s="226" t="s">
        <v>428</v>
      </c>
      <c r="D359" s="231" t="str">
        <f>IF(D356=0,"",D356&amp;"日")&amp;IF(D357=0,"",D357&amp;"時間")&amp;D358&amp;"分"</f>
        <v>0分</v>
      </c>
      <c r="E359" s="231" t="str">
        <f>IF(E356=0,"",E356&amp;"日")&amp;IF(E357=0,"",E357&amp;"時間")&amp;E358&amp;"分"</f>
        <v>0分</v>
      </c>
      <c r="F359" s="232" t="str">
        <f>IF(F356=0,"",F356&amp;"日")&amp;IF(F357=0,"",F357&amp;"時間")&amp;F358&amp;"分"</f>
        <v>0分</v>
      </c>
      <c r="K359" s="337"/>
      <c r="L359" s="338"/>
    </row>
    <row r="360" spans="2:16" ht="23.1" customHeight="1">
      <c r="C360" s="226" t="s">
        <v>425</v>
      </c>
      <c r="D360" s="246">
        <f>D355*基礎情報!$Q$4</f>
        <v>0</v>
      </c>
      <c r="E360" s="246">
        <f>E355*基礎情報!$Q$4</f>
        <v>0</v>
      </c>
      <c r="F360" s="247">
        <f>F355*基礎情報!$Q$4</f>
        <v>0</v>
      </c>
      <c r="K360" s="337"/>
      <c r="L360" s="338"/>
    </row>
    <row r="361" spans="2:16" ht="23.1" customHeight="1">
      <c r="C361" s="226" t="s">
        <v>426</v>
      </c>
      <c r="D361" s="246">
        <f>D354*D339</f>
        <v>0</v>
      </c>
      <c r="E361" s="246">
        <f>E354*E339</f>
        <v>0</v>
      </c>
      <c r="F361" s="247">
        <f>F354*F339</f>
        <v>0</v>
      </c>
      <c r="K361" s="337"/>
      <c r="L361" s="338"/>
    </row>
    <row r="362" spans="2:16" ht="23.1" customHeight="1" thickBot="1">
      <c r="C362" s="223" t="s">
        <v>429</v>
      </c>
      <c r="D362" s="248">
        <f>SUM(D360:D361)</f>
        <v>0</v>
      </c>
      <c r="E362" s="248">
        <f>SUM(E360:E361)</f>
        <v>0</v>
      </c>
      <c r="F362" s="230">
        <f>SUM(F360:F361)</f>
        <v>0</v>
      </c>
      <c r="K362" s="337"/>
      <c r="L362" s="338"/>
    </row>
    <row r="363" spans="2:16" ht="8.1" customHeight="1">
      <c r="K363" s="337"/>
      <c r="L363" s="338"/>
    </row>
    <row r="364" spans="2:16" ht="14.25" thickBot="1">
      <c r="B364" s="27" t="s">
        <v>43</v>
      </c>
      <c r="C364" s="29"/>
      <c r="D364" s="28"/>
      <c r="E364" s="28"/>
      <c r="F364" s="28"/>
      <c r="K364" s="337"/>
      <c r="L364" s="338"/>
    </row>
    <row r="365" spans="2:16" ht="8.1" customHeight="1" thickBot="1">
      <c r="K365" s="337"/>
      <c r="L365" s="338"/>
    </row>
    <row r="366" spans="2:16" ht="23.1" customHeight="1">
      <c r="C366" s="233" t="s">
        <v>207</v>
      </c>
      <c r="D366" s="236">
        <f>SUM(D354:F354)</f>
        <v>0</v>
      </c>
      <c r="K366" s="337"/>
      <c r="L366" s="338"/>
      <c r="N366" s="300" t="s">
        <v>207</v>
      </c>
      <c r="O366" s="295"/>
      <c r="P366" s="313">
        <f>P352</f>
        <v>0</v>
      </c>
    </row>
    <row r="367" spans="2:16" ht="23.1" customHeight="1">
      <c r="C367" s="234" t="s">
        <v>427</v>
      </c>
      <c r="D367" s="237">
        <f>SUM(D355:F355)</f>
        <v>0</v>
      </c>
      <c r="K367" s="337"/>
      <c r="L367" s="338"/>
      <c r="N367" s="301" t="s">
        <v>427</v>
      </c>
      <c r="O367" s="302"/>
      <c r="P367" s="560">
        <f>P343*P366</f>
        <v>0</v>
      </c>
    </row>
    <row r="368" spans="2:16" s="543" customFormat="1" ht="23.1" hidden="1" customHeight="1" outlineLevel="1">
      <c r="C368" s="540" t="s">
        <v>825</v>
      </c>
      <c r="D368" s="564">
        <f>INT(D367/(60*基礎情報!$J$5))</f>
        <v>0</v>
      </c>
      <c r="K368" s="544"/>
      <c r="L368" s="545"/>
      <c r="N368" s="945" t="s">
        <v>825</v>
      </c>
      <c r="O368" s="946"/>
      <c r="P368" s="542">
        <f>INT(P367/(60*基礎情報!$J$5))</f>
        <v>0</v>
      </c>
    </row>
    <row r="369" spans="2:17" s="543" customFormat="1" ht="23.1" hidden="1" customHeight="1" outlineLevel="1">
      <c r="C369" s="540" t="s">
        <v>428</v>
      </c>
      <c r="D369" s="564">
        <f>INT(D367/60-8*D368)</f>
        <v>0</v>
      </c>
      <c r="K369" s="544"/>
      <c r="L369" s="545"/>
      <c r="N369" s="945" t="s">
        <v>428</v>
      </c>
      <c r="O369" s="946"/>
      <c r="P369" s="542">
        <f>INT(P367/60-8*P368)</f>
        <v>0</v>
      </c>
    </row>
    <row r="370" spans="2:17" s="543" customFormat="1" ht="23.1" hidden="1" customHeight="1" outlineLevel="1">
      <c r="C370" s="540" t="s">
        <v>523</v>
      </c>
      <c r="D370" s="564">
        <f>ROUND(MOD(D367,60),0)</f>
        <v>0</v>
      </c>
      <c r="K370" s="544"/>
      <c r="L370" s="545"/>
      <c r="N370" s="945" t="s">
        <v>523</v>
      </c>
      <c r="O370" s="946"/>
      <c r="P370" s="542">
        <f>ROUND(MOD(P367,60),0)</f>
        <v>0</v>
      </c>
    </row>
    <row r="371" spans="2:17" ht="23.1" customHeight="1" collapsed="1">
      <c r="C371" s="234" t="s">
        <v>428</v>
      </c>
      <c r="D371" s="238" t="str">
        <f>IF(D368=0,"",D368&amp;"日")&amp;IF(D369=0,"",D369&amp;"時間")&amp;D370&amp;"分"</f>
        <v>0分</v>
      </c>
      <c r="E371" s="50" t="e">
        <f>"※請求担当者が "&amp;基礎情報!$U$8&amp;" 人の場合、1人当たり請求にかかる人日は、約 "&amp;ROUNDUP((D367/12)/基礎情報!$U$8/60/基礎情報!$J$5,1)&amp;" 人日"</f>
        <v>#DIV/0!</v>
      </c>
      <c r="K371" s="337"/>
      <c r="L371" s="338"/>
      <c r="N371" s="301" t="s">
        <v>428</v>
      </c>
      <c r="O371" s="302"/>
      <c r="P371" s="314" t="str">
        <f>IF(P368=0,"",P368&amp;"日")&amp;IF(P369=0,"",P369&amp;"時間")&amp;P370&amp;"分"</f>
        <v>0分</v>
      </c>
      <c r="Q371" s="50" t="e">
        <f>"※請求担当者が "&amp;基礎情報!$U$8&amp;" 人の場合、1人当たり請求にかかる人日は、約 "&amp;ROUNDUP((P367/12)/基礎情報!$U$8/60/基礎情報!$J$5,1)&amp;" 人日"</f>
        <v>#DIV/0!</v>
      </c>
    </row>
    <row r="372" spans="2:17" ht="23.1" customHeight="1">
      <c r="C372" s="234" t="s">
        <v>425</v>
      </c>
      <c r="D372" s="241">
        <f>SUM(D360:F360)</f>
        <v>0</v>
      </c>
      <c r="K372" s="337"/>
      <c r="L372" s="338"/>
      <c r="N372" s="301" t="s">
        <v>425</v>
      </c>
      <c r="O372" s="302"/>
      <c r="P372" s="315">
        <f>P367*基礎情報!$Q$4</f>
        <v>0</v>
      </c>
    </row>
    <row r="373" spans="2:17" ht="23.1" customHeight="1">
      <c r="C373" s="234" t="s">
        <v>426</v>
      </c>
      <c r="D373" s="239">
        <f>SUM(D361:F361)</f>
        <v>0</v>
      </c>
      <c r="K373" s="337"/>
      <c r="L373" s="338"/>
      <c r="N373" s="301" t="s">
        <v>426</v>
      </c>
      <c r="O373" s="302"/>
      <c r="P373" s="316">
        <f>P348*P352</f>
        <v>0</v>
      </c>
    </row>
    <row r="374" spans="2:17" ht="23.1" customHeight="1" thickBot="1">
      <c r="C374" s="235" t="s">
        <v>429</v>
      </c>
      <c r="D374" s="240">
        <f>SUM(D362:F362)</f>
        <v>0</v>
      </c>
      <c r="K374" s="337"/>
      <c r="L374" s="338"/>
      <c r="N374" s="303" t="s">
        <v>429</v>
      </c>
      <c r="O374" s="297"/>
      <c r="P374" s="317">
        <f>SUM(P372:P373)</f>
        <v>0</v>
      </c>
    </row>
    <row r="375" spans="2:17" ht="8.1" customHeight="1">
      <c r="K375" s="337"/>
      <c r="L375" s="338"/>
    </row>
    <row r="376" spans="2:17" ht="17.25">
      <c r="B376" s="947" t="s">
        <v>52</v>
      </c>
      <c r="C376" s="948"/>
      <c r="D376" s="948"/>
      <c r="E376" s="948"/>
      <c r="F376" s="948"/>
      <c r="G376" s="948"/>
      <c r="H376" s="948"/>
      <c r="I376" s="948"/>
      <c r="J376" s="949"/>
      <c r="K376" s="337"/>
      <c r="L376" s="338"/>
      <c r="M376" s="947" t="s">
        <v>52</v>
      </c>
      <c r="N376" s="948"/>
      <c r="O376" s="948"/>
      <c r="P376" s="948"/>
      <c r="Q376" s="949"/>
    </row>
    <row r="377" spans="2:17" ht="8.1" customHeight="1">
      <c r="K377" s="337"/>
      <c r="L377" s="338"/>
      <c r="O377"/>
    </row>
    <row r="378" spans="2:17" ht="14.25" thickBot="1">
      <c r="B378" s="27" t="s">
        <v>49</v>
      </c>
      <c r="C378" s="29"/>
      <c r="D378" s="28"/>
      <c r="E378" s="28"/>
      <c r="F378" s="28"/>
      <c r="K378" s="337"/>
      <c r="L378" s="338"/>
      <c r="M378" s="27" t="s">
        <v>49</v>
      </c>
      <c r="N378" s="29"/>
      <c r="O378" s="28"/>
      <c r="P378" s="28"/>
      <c r="Q378" s="28"/>
    </row>
    <row r="379" spans="2:17" ht="8.1" customHeight="1">
      <c r="K379" s="337"/>
      <c r="L379" s="338"/>
      <c r="O379"/>
    </row>
    <row r="380" spans="2:17">
      <c r="B380" s="67" t="s">
        <v>109</v>
      </c>
      <c r="C380" s="68"/>
      <c r="D380" s="69"/>
      <c r="K380" s="337"/>
      <c r="L380" s="338"/>
      <c r="M380" s="67" t="s">
        <v>109</v>
      </c>
      <c r="N380" s="68"/>
      <c r="O380" s="69"/>
      <c r="P380" s="69"/>
    </row>
    <row r="381" spans="2:17" ht="27">
      <c r="B381" s="70"/>
      <c r="C381" s="216" t="s">
        <v>50</v>
      </c>
      <c r="D381" s="505">
        <v>0</v>
      </c>
      <c r="K381" s="337"/>
      <c r="L381" s="338"/>
      <c r="M381" s="70"/>
      <c r="N381" s="216" t="s">
        <v>50</v>
      </c>
      <c r="O381" s="509">
        <v>0</v>
      </c>
      <c r="P381" s="256">
        <f>MAX(D381:J381)*O381</f>
        <v>0</v>
      </c>
    </row>
    <row r="382" spans="2:17" ht="27.75" thickBot="1">
      <c r="B382" s="70"/>
      <c r="C382" s="260" t="s">
        <v>51</v>
      </c>
      <c r="D382" s="506">
        <f>IF(OR(現業務調査!Y104=1,現業務調査!Y104=2),15,0)</f>
        <v>15</v>
      </c>
      <c r="K382" s="337"/>
      <c r="L382" s="338"/>
      <c r="M382" s="70"/>
      <c r="N382" s="260" t="s">
        <v>51</v>
      </c>
      <c r="O382" s="510">
        <v>0</v>
      </c>
      <c r="P382" s="256">
        <f>MAX(D382:J382)*O382</f>
        <v>0</v>
      </c>
    </row>
    <row r="383" spans="2:17" ht="30" customHeight="1">
      <c r="B383" s="70"/>
      <c r="C383" s="219" t="s">
        <v>22</v>
      </c>
      <c r="D383" s="282">
        <f>SUM(D381:D382)*12</f>
        <v>180</v>
      </c>
      <c r="K383" s="337"/>
      <c r="L383" s="338"/>
      <c r="M383" s="70"/>
      <c r="N383" s="219" t="s">
        <v>22</v>
      </c>
      <c r="O383" s="308"/>
      <c r="P383" s="282">
        <f>SUM(P381:P382)*12</f>
        <v>0</v>
      </c>
    </row>
    <row r="384" spans="2:17" ht="14.25" thickBot="1">
      <c r="B384" s="15"/>
      <c r="C384" s="270" t="s">
        <v>300</v>
      </c>
      <c r="D384" s="263">
        <f>D383*基礎情報!$Q$4</f>
        <v>9000</v>
      </c>
      <c r="K384" s="337"/>
      <c r="L384" s="338"/>
      <c r="M384" s="15"/>
      <c r="N384" s="270" t="s">
        <v>300</v>
      </c>
      <c r="O384" s="306"/>
      <c r="P384" s="263">
        <f>P383*基礎情報!$Q$4</f>
        <v>0</v>
      </c>
    </row>
    <row r="385" spans="2:16">
      <c r="B385" s="67" t="s">
        <v>426</v>
      </c>
      <c r="C385" s="38"/>
      <c r="D385" s="71"/>
      <c r="K385" s="337"/>
      <c r="L385" s="338"/>
      <c r="M385" s="67" t="s">
        <v>426</v>
      </c>
      <c r="N385" s="38"/>
      <c r="O385" s="277"/>
      <c r="P385" s="71"/>
    </row>
    <row r="386" spans="2:16" ht="27">
      <c r="B386" s="322" t="s">
        <v>56</v>
      </c>
      <c r="C386" s="217" t="s">
        <v>452</v>
      </c>
      <c r="D386" s="508">
        <f>業務書類量調査!U33</f>
        <v>10</v>
      </c>
      <c r="K386" s="337"/>
      <c r="L386" s="338"/>
      <c r="M386" s="70" t="s">
        <v>56</v>
      </c>
      <c r="N386" s="217" t="s">
        <v>452</v>
      </c>
      <c r="O386" s="509">
        <v>0</v>
      </c>
      <c r="P386" s="261">
        <f>MAX(D386:J386)*O386</f>
        <v>0</v>
      </c>
    </row>
    <row r="387" spans="2:16" ht="27">
      <c r="B387" s="70"/>
      <c r="C387" s="217" t="s">
        <v>451</v>
      </c>
      <c r="D387" s="508">
        <f>D386*10</f>
        <v>100</v>
      </c>
      <c r="K387" s="337"/>
      <c r="L387" s="338"/>
      <c r="M387" s="70"/>
      <c r="N387" s="217" t="s">
        <v>451</v>
      </c>
      <c r="O387" s="509">
        <v>0</v>
      </c>
      <c r="P387" s="261">
        <f>MAX(D387:J387)*O387</f>
        <v>0</v>
      </c>
    </row>
    <row r="388" spans="2:16" ht="30" customHeight="1">
      <c r="B388" s="70"/>
      <c r="C388" s="220" t="s">
        <v>53</v>
      </c>
      <c r="D388" s="499">
        <v>0</v>
      </c>
      <c r="K388" s="337"/>
      <c r="L388" s="338"/>
      <c r="M388" s="70"/>
      <c r="N388" s="220" t="s">
        <v>53</v>
      </c>
      <c r="O388" s="509">
        <v>0</v>
      </c>
      <c r="P388" s="424">
        <f>MAX(D388:J388)*O388</f>
        <v>0</v>
      </c>
    </row>
    <row r="389" spans="2:16" ht="30" customHeight="1">
      <c r="B389" s="70"/>
      <c r="C389" s="220" t="s">
        <v>54</v>
      </c>
      <c r="D389" s="499">
        <v>100</v>
      </c>
      <c r="K389" s="337"/>
      <c r="L389" s="338"/>
      <c r="M389" s="70"/>
      <c r="N389" s="220" t="s">
        <v>54</v>
      </c>
      <c r="O389" s="509">
        <v>1</v>
      </c>
      <c r="P389" s="424">
        <f>MAX(D389:J389)*O389</f>
        <v>100</v>
      </c>
    </row>
    <row r="390" spans="2:16" ht="30" customHeight="1" thickBot="1">
      <c r="B390" s="70"/>
      <c r="C390" s="259" t="s">
        <v>55</v>
      </c>
      <c r="D390" s="507">
        <v>100</v>
      </c>
      <c r="K390" s="337"/>
      <c r="L390" s="338"/>
      <c r="M390" s="70"/>
      <c r="N390" s="259" t="s">
        <v>55</v>
      </c>
      <c r="O390" s="510">
        <v>0</v>
      </c>
      <c r="P390" s="424">
        <f>MAX(D390:J390)*O390</f>
        <v>0</v>
      </c>
    </row>
    <row r="391" spans="2:16" ht="30" customHeight="1" thickBot="1">
      <c r="B391" s="15"/>
      <c r="C391" s="249" t="s">
        <v>23</v>
      </c>
      <c r="D391" s="426">
        <f>(D386*D388)+(D387*D389*12)</f>
        <v>120000</v>
      </c>
      <c r="K391" s="337"/>
      <c r="L391" s="338"/>
      <c r="M391" s="15"/>
      <c r="N391" s="249" t="s">
        <v>23</v>
      </c>
      <c r="O391" s="307"/>
      <c r="P391" s="426">
        <f>(P386*P388)+(P387*P389*12)</f>
        <v>0</v>
      </c>
    </row>
  </sheetData>
  <sheetProtection password="CF68" sheet="1"/>
  <mergeCells count="43">
    <mergeCell ref="D337:F337"/>
    <mergeCell ref="O11:O12"/>
    <mergeCell ref="M77:Q77"/>
    <mergeCell ref="O81:O82"/>
    <mergeCell ref="D29:J29"/>
    <mergeCell ref="B376:J376"/>
    <mergeCell ref="D221:F221"/>
    <mergeCell ref="B263:J263"/>
    <mergeCell ref="B319:J319"/>
    <mergeCell ref="D329:F329"/>
    <mergeCell ref="D213:F213"/>
    <mergeCell ref="O207:O208"/>
    <mergeCell ref="D161:G161"/>
    <mergeCell ref="D97:F97"/>
    <mergeCell ref="N195:O195"/>
    <mergeCell ref="B7:J7"/>
    <mergeCell ref="B77:J77"/>
    <mergeCell ref="D96:F96"/>
    <mergeCell ref="B143:J143"/>
    <mergeCell ref="M203:Q203"/>
    <mergeCell ref="B203:J203"/>
    <mergeCell ref="O147:O148"/>
    <mergeCell ref="N197:O197"/>
    <mergeCell ref="N196:O196"/>
    <mergeCell ref="D16:J16"/>
    <mergeCell ref="D153:G153"/>
    <mergeCell ref="D151:G151"/>
    <mergeCell ref="N255:O255"/>
    <mergeCell ref="N256:O256"/>
    <mergeCell ref="N257:O257"/>
    <mergeCell ref="M376:Q376"/>
    <mergeCell ref="M7:Q7"/>
    <mergeCell ref="M263:Q263"/>
    <mergeCell ref="O267:O268"/>
    <mergeCell ref="M319:Q319"/>
    <mergeCell ref="O323:O324"/>
    <mergeCell ref="M143:Q143"/>
    <mergeCell ref="N368:O368"/>
    <mergeCell ref="N369:O369"/>
    <mergeCell ref="N370:O370"/>
    <mergeCell ref="N311:O311"/>
    <mergeCell ref="N312:O312"/>
    <mergeCell ref="N313:O313"/>
  </mergeCells>
  <phoneticPr fontId="2"/>
  <conditionalFormatting sqref="D11:J11 D18:J18 D26:J26 D34:J34">
    <cfRule type="expression" dxfId="18" priority="1" stopIfTrue="1">
      <formula>D$12&gt;0</formula>
    </cfRule>
  </conditionalFormatting>
  <conditionalFormatting sqref="D12:J12 D82:F82 D148:G148 D208:F208 D324:F324">
    <cfRule type="cellIs" dxfId="17" priority="2" stopIfTrue="1" operator="greaterThan">
      <formula>0</formula>
    </cfRule>
  </conditionalFormatting>
  <conditionalFormatting sqref="D81:F81 D87:F87 D99:F99 D91:F91">
    <cfRule type="expression" dxfId="16" priority="3" stopIfTrue="1">
      <formula>D$82&gt;0</formula>
    </cfRule>
  </conditionalFormatting>
  <conditionalFormatting sqref="D147:G147 D158:G158">
    <cfRule type="expression" dxfId="15" priority="4" stopIfTrue="1">
      <formula>D$148&gt;0</formula>
    </cfRule>
  </conditionalFormatting>
  <conditionalFormatting sqref="D207:F207 D226:F226">
    <cfRule type="expression" dxfId="14" priority="6" stopIfTrue="1">
      <formula>D$208&gt;0</formula>
    </cfRule>
  </conditionalFormatting>
  <conditionalFormatting sqref="D323:F323 D334:F334 D339:F339">
    <cfRule type="expression" dxfId="13" priority="8" stopIfTrue="1">
      <formula>D$324&gt;0</formula>
    </cfRule>
  </conditionalFormatting>
  <pageMargins left="0.59055118110236227" right="0.59055118110236227" top="0.59055118110236227" bottom="0.59055118110236227" header="0.51181102362204722" footer="0.51181102362204722"/>
  <pageSetup paperSize="8" scale="65" fitToHeight="0" orientation="landscape" r:id="rId1"/>
  <headerFooter alignWithMargins="0"/>
  <rowBreaks count="6" manualBreakCount="6">
    <brk id="76" max="16383" man="1"/>
    <brk id="142" max="16383" man="1"/>
    <brk id="202" max="16383" man="1"/>
    <brk id="262" max="16383" man="1"/>
    <brk id="318" max="16383" man="1"/>
    <brk id="375" min="1" max="1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enableFormatConditionsCalculation="0">
    <tabColor indexed="18"/>
    <pageSetUpPr autoPageBreaks="0"/>
  </sheetPr>
  <dimension ref="B2:CJ157"/>
  <sheetViews>
    <sheetView showGridLines="0" zoomScale="85" zoomScaleNormal="85" workbookViewId="0">
      <selection activeCell="G5" sqref="G5"/>
    </sheetView>
  </sheetViews>
  <sheetFormatPr defaultColWidth="2.625" defaultRowHeight="13.5" outlineLevelCol="1"/>
  <cols>
    <col min="1" max="1" width="3" customWidth="1"/>
    <col min="2" max="49" width="2.625" customWidth="1"/>
    <col min="50" max="53" width="6.5" style="574" hidden="1" customWidth="1" outlineLevel="1"/>
    <col min="54" max="54" width="15.5" style="574" hidden="1" customWidth="1" outlineLevel="1"/>
    <col min="55" max="58" width="6.5" style="326" hidden="1" customWidth="1" outlineLevel="1"/>
    <col min="59" max="59" width="14.375" style="573" hidden="1" customWidth="1" outlineLevel="1"/>
    <col min="60" max="64" width="6.5" style="326" hidden="1" customWidth="1" outlineLevel="1"/>
    <col min="65" max="65" width="2.625" collapsed="1"/>
  </cols>
  <sheetData>
    <row r="2" spans="2:88" ht="21">
      <c r="B2" s="341" t="s">
        <v>138</v>
      </c>
    </row>
    <row r="4" spans="2:88" ht="14.25" thickBot="1">
      <c r="B4" s="27" t="s">
        <v>139</v>
      </c>
      <c r="C4" s="29"/>
      <c r="D4" s="28"/>
      <c r="E4" s="28"/>
      <c r="F4" s="28"/>
      <c r="G4" s="28"/>
      <c r="H4" s="28"/>
      <c r="I4" s="28"/>
      <c r="J4" s="28"/>
      <c r="K4" s="28"/>
      <c r="L4" s="28"/>
      <c r="M4" s="28"/>
      <c r="N4" s="28"/>
      <c r="O4" s="28"/>
      <c r="P4" s="28"/>
      <c r="Q4" s="28"/>
      <c r="R4" s="28"/>
      <c r="S4" s="28"/>
      <c r="T4" s="28"/>
    </row>
    <row r="5" spans="2:88" ht="14.25" thickBot="1"/>
    <row r="6" spans="2:88" ht="13.5" customHeight="1" thickBot="1">
      <c r="B6" s="1191" t="s">
        <v>140</v>
      </c>
      <c r="C6" s="1192"/>
      <c r="D6" s="1192"/>
      <c r="E6" s="1192"/>
      <c r="F6" s="1192"/>
      <c r="G6" s="1192"/>
      <c r="H6" s="1192"/>
      <c r="I6" s="1192"/>
      <c r="J6" s="1192"/>
      <c r="K6" s="1192"/>
      <c r="L6" s="1192"/>
      <c r="M6" s="1192"/>
      <c r="N6" s="1192"/>
      <c r="O6" s="1192"/>
      <c r="P6" s="1192"/>
      <c r="Q6" s="1192"/>
      <c r="R6" s="1192"/>
      <c r="S6" s="1193"/>
      <c r="X6" s="1191" t="s">
        <v>141</v>
      </c>
      <c r="Y6" s="1192"/>
      <c r="Z6" s="1192"/>
      <c r="AA6" s="1192"/>
      <c r="AB6" s="1192"/>
      <c r="AC6" s="1192"/>
      <c r="AD6" s="1192"/>
      <c r="AE6" s="1192"/>
      <c r="AF6" s="1192"/>
      <c r="AG6" s="1192"/>
      <c r="AH6" s="1192"/>
      <c r="AI6" s="1192"/>
      <c r="AJ6" s="1192"/>
      <c r="AK6" s="1192"/>
      <c r="AL6" s="1192"/>
      <c r="AM6" s="1192"/>
      <c r="AN6" s="1192"/>
      <c r="AO6" s="1192"/>
      <c r="AP6" s="1193"/>
      <c r="AX6" s="571" t="s">
        <v>830</v>
      </c>
      <c r="AY6" s="580">
        <f>基礎情報!J5</f>
        <v>8</v>
      </c>
      <c r="AZ6" s="326"/>
      <c r="BA6" s="326"/>
      <c r="BB6" s="573"/>
    </row>
    <row r="7" spans="2:88">
      <c r="B7" s="1194"/>
      <c r="C7" s="1195"/>
      <c r="D7" s="1195"/>
      <c r="E7" s="1195"/>
      <c r="F7" s="1195"/>
      <c r="G7" s="1195"/>
      <c r="H7" s="1195"/>
      <c r="I7" s="1195"/>
      <c r="J7" s="1195"/>
      <c r="K7" s="1195"/>
      <c r="L7" s="1195"/>
      <c r="M7" s="1195"/>
      <c r="N7" s="1195"/>
      <c r="O7" s="1195"/>
      <c r="P7" s="1195"/>
      <c r="Q7" s="1195"/>
      <c r="R7" s="1195"/>
      <c r="S7" s="1196"/>
      <c r="X7" s="1194"/>
      <c r="Y7" s="1195"/>
      <c r="Z7" s="1195"/>
      <c r="AA7" s="1195"/>
      <c r="AB7" s="1195"/>
      <c r="AC7" s="1195"/>
      <c r="AD7" s="1195"/>
      <c r="AE7" s="1195"/>
      <c r="AF7" s="1195"/>
      <c r="AG7" s="1195"/>
      <c r="AH7" s="1195"/>
      <c r="AI7" s="1195"/>
      <c r="AJ7" s="1195"/>
      <c r="AK7" s="1195"/>
      <c r="AL7" s="1195"/>
      <c r="AM7" s="1195"/>
      <c r="AN7" s="1195"/>
      <c r="AO7" s="1195"/>
      <c r="AP7" s="1196"/>
      <c r="AX7" s="326"/>
      <c r="AY7" s="326"/>
      <c r="AZ7" s="326"/>
      <c r="BA7" s="326"/>
      <c r="BB7" s="573"/>
    </row>
    <row r="8" spans="2:88" ht="13.5" customHeight="1" thickBot="1">
      <c r="N8" s="19"/>
      <c r="O8" s="19"/>
      <c r="P8" s="19"/>
      <c r="Q8" s="19"/>
      <c r="R8" s="19"/>
      <c r="S8" s="340"/>
      <c r="T8" s="340"/>
      <c r="U8" s="340"/>
      <c r="V8" s="340"/>
      <c r="W8" s="340"/>
      <c r="X8" s="340"/>
      <c r="Y8" s="340"/>
      <c r="Z8" s="340"/>
      <c r="AA8" s="340"/>
      <c r="AB8" s="340"/>
      <c r="AC8" s="340"/>
      <c r="AD8" s="340"/>
      <c r="AE8" s="340"/>
      <c r="AF8" s="340"/>
      <c r="AG8" s="340"/>
      <c r="AH8" s="340"/>
      <c r="AI8" s="340"/>
      <c r="AX8" s="326"/>
      <c r="AY8" s="326"/>
      <c r="AZ8" s="326"/>
      <c r="BA8" s="326"/>
      <c r="BB8" s="573"/>
    </row>
    <row r="9" spans="2:88" ht="18" customHeight="1">
      <c r="B9" s="1201" t="s">
        <v>142</v>
      </c>
      <c r="C9" s="1202"/>
      <c r="D9" s="1202"/>
      <c r="E9" s="1202"/>
      <c r="F9" s="1197" t="s">
        <v>143</v>
      </c>
      <c r="G9" s="1048"/>
      <c r="H9" s="1048"/>
      <c r="I9" s="1048"/>
      <c r="J9" s="1048"/>
      <c r="K9" s="1048"/>
      <c r="L9" s="1048"/>
      <c r="M9" s="1198"/>
      <c r="N9" s="1251" t="s">
        <v>144</v>
      </c>
      <c r="O9" s="999"/>
      <c r="P9" s="999"/>
      <c r="Q9" s="999"/>
      <c r="R9" s="999"/>
      <c r="S9" s="1000"/>
      <c r="T9" s="340"/>
      <c r="U9" s="340"/>
      <c r="V9" s="340"/>
      <c r="W9" s="340"/>
      <c r="X9" s="1047" t="s">
        <v>145</v>
      </c>
      <c r="Y9" s="1048"/>
      <c r="Z9" s="1048"/>
      <c r="AA9" s="1048"/>
      <c r="AB9" s="1049"/>
      <c r="AC9" s="340"/>
      <c r="AD9" s="1201" t="s">
        <v>146</v>
      </c>
      <c r="AE9" s="1202"/>
      <c r="AF9" s="1202"/>
      <c r="AG9" s="1202"/>
      <c r="AH9" s="1202"/>
      <c r="AI9" s="1202"/>
      <c r="AJ9" s="1251" t="s">
        <v>147</v>
      </c>
      <c r="AK9" s="999"/>
      <c r="AL9" s="999"/>
      <c r="AM9" s="999"/>
      <c r="AN9" s="999"/>
      <c r="AO9" s="999"/>
      <c r="AP9" s="1000"/>
      <c r="AX9" s="326"/>
      <c r="AY9" s="326"/>
      <c r="AZ9" s="326"/>
      <c r="BA9" s="326"/>
      <c r="BB9" s="573"/>
      <c r="BM9" s="1120" t="s">
        <v>148</v>
      </c>
      <c r="BN9" s="1121"/>
      <c r="BO9" s="1121"/>
      <c r="BP9" s="1121"/>
      <c r="BQ9" s="1121"/>
      <c r="BR9" s="1121"/>
      <c r="BS9" s="1121"/>
      <c r="BT9" s="1121"/>
      <c r="BU9" s="1121"/>
      <c r="BV9" s="1121"/>
      <c r="BW9" s="1121"/>
      <c r="BX9" s="1121"/>
      <c r="BY9" s="1121"/>
      <c r="BZ9" s="1121"/>
      <c r="CA9" s="1121"/>
      <c r="CB9" s="1121"/>
      <c r="CC9" s="1121"/>
      <c r="CD9" s="1121"/>
      <c r="CE9" s="1121"/>
      <c r="CF9" s="1121"/>
      <c r="CG9" s="1121"/>
      <c r="CH9" s="1121"/>
      <c r="CI9" s="1121"/>
      <c r="CJ9" s="1122"/>
    </row>
    <row r="10" spans="2:88" ht="18" customHeight="1" thickBot="1">
      <c r="B10" s="1203"/>
      <c r="C10" s="1204"/>
      <c r="D10" s="1204"/>
      <c r="E10" s="1204"/>
      <c r="F10" s="1199"/>
      <c r="G10" s="1051"/>
      <c r="H10" s="1051"/>
      <c r="I10" s="1051"/>
      <c r="J10" s="1051"/>
      <c r="K10" s="1051"/>
      <c r="L10" s="1051"/>
      <c r="M10" s="1200"/>
      <c r="N10" s="1252"/>
      <c r="O10" s="1002"/>
      <c r="P10" s="1002"/>
      <c r="Q10" s="1002"/>
      <c r="R10" s="1002"/>
      <c r="S10" s="1003"/>
      <c r="T10" s="340"/>
      <c r="U10" s="340"/>
      <c r="V10" s="340"/>
      <c r="W10" s="340"/>
      <c r="X10" s="1050"/>
      <c r="Y10" s="1051"/>
      <c r="Z10" s="1051"/>
      <c r="AA10" s="1051"/>
      <c r="AB10" s="1052"/>
      <c r="AC10" s="340"/>
      <c r="AD10" s="1203"/>
      <c r="AE10" s="1204"/>
      <c r="AF10" s="1204"/>
      <c r="AG10" s="1204"/>
      <c r="AH10" s="1204"/>
      <c r="AI10" s="1204"/>
      <c r="AJ10" s="1252"/>
      <c r="AK10" s="1002"/>
      <c r="AL10" s="1002"/>
      <c r="AM10" s="1002"/>
      <c r="AN10" s="1002"/>
      <c r="AO10" s="1002"/>
      <c r="AP10" s="1003"/>
      <c r="AX10" s="572" t="s">
        <v>829</v>
      </c>
      <c r="AY10" s="572" t="s">
        <v>825</v>
      </c>
      <c r="AZ10" s="572" t="s">
        <v>428</v>
      </c>
      <c r="BA10" s="572" t="s">
        <v>523</v>
      </c>
      <c r="BB10" s="572" t="s">
        <v>831</v>
      </c>
      <c r="BM10" s="1123"/>
      <c r="BN10" s="1124"/>
      <c r="BO10" s="1124"/>
      <c r="BP10" s="1124"/>
      <c r="BQ10" s="1124"/>
      <c r="BR10" s="1124"/>
      <c r="BS10" s="1124"/>
      <c r="BT10" s="1124"/>
      <c r="BU10" s="1124"/>
      <c r="BV10" s="1124"/>
      <c r="BW10" s="1124"/>
      <c r="BX10" s="1124"/>
      <c r="BY10" s="1124"/>
      <c r="BZ10" s="1124"/>
      <c r="CA10" s="1124"/>
      <c r="CB10" s="1124"/>
      <c r="CC10" s="1124"/>
      <c r="CD10" s="1124"/>
      <c r="CE10" s="1124"/>
      <c r="CF10" s="1124"/>
      <c r="CG10" s="1124"/>
      <c r="CH10" s="1124"/>
      <c r="CI10" s="1124"/>
      <c r="CJ10" s="1125"/>
    </row>
    <row r="11" spans="2:88" ht="20.25" customHeight="1">
      <c r="B11" s="514"/>
      <c r="C11" s="515"/>
      <c r="D11" s="515"/>
      <c r="E11" s="516"/>
      <c r="F11" s="1213" t="s">
        <v>149</v>
      </c>
      <c r="G11" s="698"/>
      <c r="H11" s="698"/>
      <c r="I11" s="698"/>
      <c r="J11" s="698"/>
      <c r="K11" s="1215" t="s">
        <v>150</v>
      </c>
      <c r="L11" s="1216"/>
      <c r="M11" s="1217"/>
      <c r="N11" s="1259">
        <f>'&lt;参考&gt;●現在の業務の総コスト'!$G$10</f>
        <v>0</v>
      </c>
      <c r="O11" s="1259"/>
      <c r="P11" s="1259"/>
      <c r="Q11" s="1259"/>
      <c r="R11" s="1259"/>
      <c r="S11" s="1260"/>
      <c r="X11" s="1207">
        <f>'&lt;参考&gt;●現在の業務の総コスト'!$G$6</f>
        <v>7200</v>
      </c>
      <c r="Y11" s="1208"/>
      <c r="Z11" s="1208"/>
      <c r="AA11" s="1208"/>
      <c r="AB11" s="1209"/>
      <c r="AD11" s="1162" t="s">
        <v>149</v>
      </c>
      <c r="AE11" s="1163"/>
      <c r="AF11" s="1163"/>
      <c r="AG11" s="1163"/>
      <c r="AH11" s="1163"/>
      <c r="AI11" s="1164"/>
      <c r="AJ11" s="1165" t="str">
        <f>BB11</f>
        <v>-</v>
      </c>
      <c r="AK11" s="1166"/>
      <c r="AL11" s="1166"/>
      <c r="AM11" s="1166"/>
      <c r="AN11" s="1166"/>
      <c r="AO11" s="1166"/>
      <c r="AP11" s="1167"/>
      <c r="AQ11" s="342"/>
      <c r="AR11" s="342"/>
      <c r="AS11" s="342"/>
      <c r="AT11" s="342"/>
      <c r="AU11" s="342"/>
      <c r="AV11" s="342"/>
      <c r="AW11" s="342"/>
      <c r="AX11" s="326">
        <f>'&lt;参考&gt;●現在の業務の総コスト'!G20</f>
        <v>0</v>
      </c>
      <c r="AY11" s="326">
        <f t="shared" ref="AY11:AY25" si="0">INT(AX11/$AY$6/60)</f>
        <v>0</v>
      </c>
      <c r="AZ11" s="326">
        <f t="shared" ref="AZ11:AZ25" si="1">INT((AX11-AY11*60*$AY$6)/60)</f>
        <v>0</v>
      </c>
      <c r="BA11" s="326">
        <f>ROUND(MOD(AX11,60),0)</f>
        <v>0</v>
      </c>
      <c r="BB11" s="573" t="str">
        <f t="shared" ref="BB11:BB25" si="2">IF(AX11=0,"-",IF(AY11=0,"",AY11&amp;"日")&amp;IF(AZ11=0,"",AZ11&amp;"時間")&amp;IF(BA11=0,"",BA11&amp;"分"))</f>
        <v>-</v>
      </c>
      <c r="BM11" s="1236">
        <v>3</v>
      </c>
      <c r="BN11" s="1237"/>
      <c r="BO11" s="343" t="s">
        <v>151</v>
      </c>
      <c r="BP11" s="343"/>
      <c r="BQ11" s="343"/>
      <c r="BR11" s="343"/>
      <c r="BS11" s="343"/>
      <c r="BT11" s="343"/>
      <c r="BU11" s="344" t="s">
        <v>152</v>
      </c>
      <c r="BV11" s="344"/>
      <c r="BW11" s="344"/>
      <c r="BX11" s="344"/>
      <c r="BY11" s="344"/>
      <c r="BZ11" s="344"/>
      <c r="CA11" s="1241">
        <f>(AX11/60)/12/BM11/BM12</f>
        <v>0</v>
      </c>
      <c r="CB11" s="1241"/>
      <c r="CC11" s="1241"/>
      <c r="CD11" s="344" t="s">
        <v>153</v>
      </c>
      <c r="CE11" s="344"/>
      <c r="CF11" s="344"/>
      <c r="CG11" s="344"/>
      <c r="CH11" s="344"/>
      <c r="CI11" s="344"/>
      <c r="CJ11" s="345"/>
    </row>
    <row r="12" spans="2:88" ht="18" customHeight="1">
      <c r="B12" s="517"/>
      <c r="C12" s="518"/>
      <c r="D12" s="518"/>
      <c r="E12" s="519"/>
      <c r="F12" s="1221"/>
      <c r="G12" s="1222"/>
      <c r="H12" s="1222"/>
      <c r="I12" s="1222"/>
      <c r="J12" s="1222"/>
      <c r="K12" s="1223" t="s">
        <v>154</v>
      </c>
      <c r="L12" s="1224"/>
      <c r="M12" s="1225"/>
      <c r="N12" s="1261">
        <f>'&lt;参考&gt;●現在の業務の総コスト'!$K$10</f>
        <v>0</v>
      </c>
      <c r="O12" s="1261"/>
      <c r="P12" s="1261"/>
      <c r="Q12" s="1261"/>
      <c r="R12" s="1261"/>
      <c r="S12" s="1262"/>
      <c r="X12" s="1248"/>
      <c r="Y12" s="1249"/>
      <c r="Z12" s="1249"/>
      <c r="AA12" s="1249"/>
      <c r="AB12" s="1250"/>
      <c r="AD12" s="1152"/>
      <c r="AE12" s="1153"/>
      <c r="AF12" s="1153"/>
      <c r="AG12" s="1153"/>
      <c r="AH12" s="1153"/>
      <c r="AI12" s="1154"/>
      <c r="AJ12" s="1253">
        <f>'&lt;参考&gt;●現在の業務の総コスト'!$N$19</f>
        <v>0</v>
      </c>
      <c r="AK12" s="1254"/>
      <c r="AL12" s="1254"/>
      <c r="AM12" s="1254"/>
      <c r="AN12" s="1254"/>
      <c r="AO12" s="1254"/>
      <c r="AP12" s="1255"/>
      <c r="AQ12" s="346"/>
      <c r="AR12" s="346"/>
      <c r="AS12" s="346"/>
      <c r="AT12" s="346"/>
      <c r="AU12" s="346"/>
      <c r="AV12" s="346"/>
      <c r="AW12" s="346"/>
      <c r="AX12" s="326"/>
      <c r="AY12" s="326">
        <f t="shared" si="0"/>
        <v>0</v>
      </c>
      <c r="AZ12" s="326">
        <f t="shared" si="1"/>
        <v>0</v>
      </c>
      <c r="BA12" s="326">
        <f t="shared" ref="BA12:BA25" si="3">ROUND(MOD(AX12,60),0)</f>
        <v>0</v>
      </c>
      <c r="BB12" s="573" t="str">
        <f t="shared" si="2"/>
        <v>-</v>
      </c>
      <c r="BM12" s="1244">
        <v>1</v>
      </c>
      <c r="BN12" s="1245"/>
      <c r="BO12" s="5" t="s">
        <v>155</v>
      </c>
      <c r="BP12" s="5"/>
      <c r="BQ12" s="5"/>
      <c r="BR12" s="5"/>
      <c r="BS12" s="5"/>
      <c r="BT12" s="5"/>
      <c r="BU12" s="347" t="s">
        <v>156</v>
      </c>
      <c r="BV12" s="347"/>
      <c r="BW12" s="347"/>
      <c r="BX12" s="347"/>
      <c r="BY12" s="347"/>
      <c r="BZ12" s="347"/>
      <c r="CA12" s="1246">
        <f>(AX11/60)/(12*20)/BM11/BM12</f>
        <v>0</v>
      </c>
      <c r="CB12" s="1246"/>
      <c r="CC12" s="1246"/>
      <c r="CD12" s="347" t="s">
        <v>153</v>
      </c>
      <c r="CE12" s="347"/>
      <c r="CF12" s="347"/>
      <c r="CG12" s="347"/>
      <c r="CH12" s="347"/>
      <c r="CI12" s="347"/>
      <c r="CJ12" s="348"/>
    </row>
    <row r="13" spans="2:88" ht="20.25" customHeight="1">
      <c r="B13" s="517"/>
      <c r="C13" s="518"/>
      <c r="D13" s="518"/>
      <c r="E13" s="519"/>
      <c r="F13" s="1226" t="s">
        <v>224</v>
      </c>
      <c r="G13" s="1182"/>
      <c r="H13" s="1182"/>
      <c r="I13" s="1182"/>
      <c r="J13" s="1182"/>
      <c r="K13" s="1227" t="s">
        <v>150</v>
      </c>
      <c r="L13" s="1228"/>
      <c r="M13" s="1229"/>
      <c r="N13" s="1263">
        <f>'&lt;参考&gt;●現在の業務の総コスト'!$G$11</f>
        <v>0</v>
      </c>
      <c r="O13" s="1263"/>
      <c r="P13" s="1263"/>
      <c r="Q13" s="1263"/>
      <c r="R13" s="1263"/>
      <c r="S13" s="1264"/>
      <c r="X13" s="1248">
        <f>'&lt;参考&gt;●現在の業務の総コスト'!$G$6</f>
        <v>7200</v>
      </c>
      <c r="Y13" s="1249"/>
      <c r="Z13" s="1249"/>
      <c r="AA13" s="1249"/>
      <c r="AB13" s="1250"/>
      <c r="AD13" s="1152" t="s">
        <v>224</v>
      </c>
      <c r="AE13" s="1153"/>
      <c r="AF13" s="1153"/>
      <c r="AG13" s="1153"/>
      <c r="AH13" s="1153"/>
      <c r="AI13" s="1154"/>
      <c r="AJ13" s="1256" t="str">
        <f>BB13</f>
        <v>-</v>
      </c>
      <c r="AK13" s="1257"/>
      <c r="AL13" s="1257"/>
      <c r="AM13" s="1257"/>
      <c r="AN13" s="1257"/>
      <c r="AO13" s="1257"/>
      <c r="AP13" s="1258"/>
      <c r="AQ13" s="342"/>
      <c r="AR13" s="342"/>
      <c r="AS13" s="342"/>
      <c r="AT13" s="342"/>
      <c r="AU13" s="342"/>
      <c r="AV13" s="342"/>
      <c r="AW13" s="342"/>
      <c r="AX13" s="326">
        <f>'&lt;参考&gt;●現在の業務の総コスト'!G22</f>
        <v>0</v>
      </c>
      <c r="AY13" s="326">
        <f t="shared" si="0"/>
        <v>0</v>
      </c>
      <c r="AZ13" s="326">
        <f t="shared" si="1"/>
        <v>0</v>
      </c>
      <c r="BA13" s="326">
        <f t="shared" si="3"/>
        <v>0</v>
      </c>
      <c r="BB13" s="573" t="str">
        <f t="shared" si="2"/>
        <v>-</v>
      </c>
      <c r="BM13" s="1242">
        <v>3</v>
      </c>
      <c r="BN13" s="1243"/>
      <c r="BO13" s="68" t="s">
        <v>151</v>
      </c>
      <c r="BP13" s="68"/>
      <c r="BQ13" s="68"/>
      <c r="BR13" s="68"/>
      <c r="BS13" s="68"/>
      <c r="BT13" s="68"/>
      <c r="BU13" s="349" t="s">
        <v>152</v>
      </c>
      <c r="BV13" s="349"/>
      <c r="BW13" s="349"/>
      <c r="BX13" s="349"/>
      <c r="BY13" s="349"/>
      <c r="BZ13" s="349"/>
      <c r="CA13" s="1247">
        <f>(AX13/60)/12/BM13/BM14</f>
        <v>0</v>
      </c>
      <c r="CB13" s="1247"/>
      <c r="CC13" s="1247"/>
      <c r="CD13" s="349" t="s">
        <v>153</v>
      </c>
      <c r="CE13" s="349"/>
      <c r="CF13" s="349"/>
      <c r="CG13" s="349"/>
      <c r="CH13" s="349"/>
      <c r="CI13" s="349"/>
      <c r="CJ13" s="350"/>
    </row>
    <row r="14" spans="2:88" ht="18" customHeight="1" thickBot="1">
      <c r="B14" s="517"/>
      <c r="C14" s="518"/>
      <c r="D14" s="518"/>
      <c r="E14" s="519"/>
      <c r="F14" s="1214"/>
      <c r="G14" s="700"/>
      <c r="H14" s="700"/>
      <c r="I14" s="700"/>
      <c r="J14" s="700"/>
      <c r="K14" s="1218" t="s">
        <v>154</v>
      </c>
      <c r="L14" s="1219"/>
      <c r="M14" s="1220"/>
      <c r="N14" s="1205">
        <f>'&lt;参考&gt;●現在の業務の総コスト'!$K$11</f>
        <v>0</v>
      </c>
      <c r="O14" s="1205"/>
      <c r="P14" s="1205"/>
      <c r="Q14" s="1205"/>
      <c r="R14" s="1205"/>
      <c r="S14" s="1206"/>
      <c r="X14" s="1210"/>
      <c r="Y14" s="1211"/>
      <c r="Z14" s="1211"/>
      <c r="AA14" s="1211"/>
      <c r="AB14" s="1212"/>
      <c r="AD14" s="1155"/>
      <c r="AE14" s="1156"/>
      <c r="AF14" s="1156"/>
      <c r="AG14" s="1156"/>
      <c r="AH14" s="1156"/>
      <c r="AI14" s="1157"/>
      <c r="AJ14" s="1168">
        <f>'&lt;参考&gt;●現在の業務の総コスト'!$N$21</f>
        <v>0</v>
      </c>
      <c r="AK14" s="1030"/>
      <c r="AL14" s="1030"/>
      <c r="AM14" s="1030"/>
      <c r="AN14" s="1030"/>
      <c r="AO14" s="1030"/>
      <c r="AP14" s="1031"/>
      <c r="AQ14" s="346"/>
      <c r="AR14" s="346"/>
      <c r="AS14" s="346"/>
      <c r="AT14" s="346"/>
      <c r="AU14" s="346"/>
      <c r="AV14" s="346"/>
      <c r="AW14" s="346"/>
      <c r="AX14" s="326"/>
      <c r="AY14" s="326">
        <f t="shared" si="0"/>
        <v>0</v>
      </c>
      <c r="AZ14" s="326">
        <f t="shared" si="1"/>
        <v>0</v>
      </c>
      <c r="BA14" s="326">
        <f t="shared" si="3"/>
        <v>0</v>
      </c>
      <c r="BB14" s="573" t="str">
        <f t="shared" si="2"/>
        <v>-</v>
      </c>
      <c r="BM14" s="1160">
        <v>1</v>
      </c>
      <c r="BN14" s="1161"/>
      <c r="BO14" s="8" t="s">
        <v>155</v>
      </c>
      <c r="BP14" s="8"/>
      <c r="BQ14" s="8"/>
      <c r="BR14" s="8"/>
      <c r="BS14" s="8"/>
      <c r="BT14" s="8"/>
      <c r="BU14" s="351" t="s">
        <v>156</v>
      </c>
      <c r="BV14" s="351"/>
      <c r="BW14" s="351"/>
      <c r="BX14" s="351"/>
      <c r="BY14" s="351"/>
      <c r="BZ14" s="351"/>
      <c r="CA14" s="1238">
        <f>(AX13/60)/(12*20)/BM13/BM14</f>
        <v>0</v>
      </c>
      <c r="CB14" s="1238"/>
      <c r="CC14" s="1238"/>
      <c r="CD14" s="351" t="s">
        <v>153</v>
      </c>
      <c r="CE14" s="351"/>
      <c r="CF14" s="351"/>
      <c r="CG14" s="351"/>
      <c r="CH14" s="351"/>
      <c r="CI14" s="351"/>
      <c r="CJ14" s="352"/>
    </row>
    <row r="15" spans="2:88" ht="20.25" customHeight="1">
      <c r="B15" s="514"/>
      <c r="C15" s="515"/>
      <c r="D15" s="515"/>
      <c r="E15" s="516"/>
      <c r="F15" s="1213" t="s">
        <v>157</v>
      </c>
      <c r="G15" s="698"/>
      <c r="H15" s="698"/>
      <c r="I15" s="698"/>
      <c r="J15" s="698"/>
      <c r="K15" s="1215" t="s">
        <v>150</v>
      </c>
      <c r="L15" s="1216"/>
      <c r="M15" s="1217"/>
      <c r="N15" s="1259">
        <f>'&lt;参考&gt;●現在の業務の総コスト'!$G$12</f>
        <v>60</v>
      </c>
      <c r="O15" s="1259"/>
      <c r="P15" s="1259"/>
      <c r="Q15" s="1259"/>
      <c r="R15" s="1259"/>
      <c r="S15" s="1260"/>
      <c r="X15" s="1207">
        <f>'&lt;参考&gt;●現在の業務の総コスト'!$G$5</f>
        <v>2400</v>
      </c>
      <c r="Y15" s="1208"/>
      <c r="Z15" s="1208"/>
      <c r="AA15" s="1208"/>
      <c r="AB15" s="1209"/>
      <c r="AD15" s="1162" t="s">
        <v>157</v>
      </c>
      <c r="AE15" s="1163"/>
      <c r="AF15" s="1163"/>
      <c r="AG15" s="1163"/>
      <c r="AH15" s="1163"/>
      <c r="AI15" s="1164"/>
      <c r="AJ15" s="1165" t="str">
        <f>BB15</f>
        <v>300日</v>
      </c>
      <c r="AK15" s="1166"/>
      <c r="AL15" s="1166"/>
      <c r="AM15" s="1166"/>
      <c r="AN15" s="1166"/>
      <c r="AO15" s="1166"/>
      <c r="AP15" s="1167"/>
      <c r="AQ15" s="342"/>
      <c r="AR15" s="342"/>
      <c r="AS15" s="342"/>
      <c r="AT15" s="342"/>
      <c r="AU15" s="342"/>
      <c r="AV15" s="342"/>
      <c r="AW15" s="342"/>
      <c r="AX15" s="326">
        <f>'&lt;参考&gt;●現在の業務の総コスト'!G24</f>
        <v>144000</v>
      </c>
      <c r="AY15" s="326">
        <f t="shared" si="0"/>
        <v>300</v>
      </c>
      <c r="AZ15" s="326">
        <f t="shared" si="1"/>
        <v>0</v>
      </c>
      <c r="BA15" s="326">
        <f t="shared" si="3"/>
        <v>0</v>
      </c>
      <c r="BB15" s="573" t="str">
        <f t="shared" si="2"/>
        <v>300日</v>
      </c>
      <c r="BM15" s="1236">
        <v>1</v>
      </c>
      <c r="BN15" s="1237"/>
      <c r="BO15" s="343" t="s">
        <v>151</v>
      </c>
      <c r="BP15" s="343"/>
      <c r="BQ15" s="343"/>
      <c r="BR15" s="343"/>
      <c r="BS15" s="343"/>
      <c r="BT15" s="343"/>
      <c r="BU15" s="344" t="s">
        <v>152</v>
      </c>
      <c r="BV15" s="344"/>
      <c r="BW15" s="344"/>
      <c r="BX15" s="344"/>
      <c r="BY15" s="344"/>
      <c r="BZ15" s="344"/>
      <c r="CA15" s="1241">
        <f>(AX15/60)/12/BM15/BM16</f>
        <v>200</v>
      </c>
      <c r="CB15" s="1241"/>
      <c r="CC15" s="1241"/>
      <c r="CD15" s="344" t="s">
        <v>153</v>
      </c>
      <c r="CE15" s="344"/>
      <c r="CF15" s="344"/>
      <c r="CG15" s="344"/>
      <c r="CH15" s="344"/>
      <c r="CI15" s="344"/>
      <c r="CJ15" s="345"/>
    </row>
    <row r="16" spans="2:88" ht="18" customHeight="1">
      <c r="B16" s="517"/>
      <c r="C16" s="518"/>
      <c r="D16" s="518"/>
      <c r="E16" s="519"/>
      <c r="F16" s="1221"/>
      <c r="G16" s="1222"/>
      <c r="H16" s="1222"/>
      <c r="I16" s="1222"/>
      <c r="J16" s="1222"/>
      <c r="K16" s="1223" t="s">
        <v>154</v>
      </c>
      <c r="L16" s="1224"/>
      <c r="M16" s="1225"/>
      <c r="N16" s="1261">
        <f>'&lt;参考&gt;●現在の業務の総コスト'!$K$12</f>
        <v>120.6</v>
      </c>
      <c r="O16" s="1261"/>
      <c r="P16" s="1261"/>
      <c r="Q16" s="1261"/>
      <c r="R16" s="1261"/>
      <c r="S16" s="1262"/>
      <c r="X16" s="1248"/>
      <c r="Y16" s="1249"/>
      <c r="Z16" s="1249"/>
      <c r="AA16" s="1249"/>
      <c r="AB16" s="1250"/>
      <c r="AD16" s="1152"/>
      <c r="AE16" s="1153"/>
      <c r="AF16" s="1153"/>
      <c r="AG16" s="1153"/>
      <c r="AH16" s="1153"/>
      <c r="AI16" s="1154"/>
      <c r="AJ16" s="1253">
        <f>'&lt;参考&gt;●現在の業務の総コスト'!$N$23</f>
        <v>289440</v>
      </c>
      <c r="AK16" s="1254"/>
      <c r="AL16" s="1254"/>
      <c r="AM16" s="1254"/>
      <c r="AN16" s="1254"/>
      <c r="AO16" s="1254"/>
      <c r="AP16" s="1255"/>
      <c r="AQ16" s="346"/>
      <c r="AR16" s="346"/>
      <c r="AS16" s="346"/>
      <c r="AT16" s="346"/>
      <c r="AU16" s="346"/>
      <c r="AV16" s="346"/>
      <c r="AW16" s="346"/>
      <c r="AX16" s="326"/>
      <c r="AY16" s="326">
        <f t="shared" si="0"/>
        <v>0</v>
      </c>
      <c r="AZ16" s="326">
        <f t="shared" si="1"/>
        <v>0</v>
      </c>
      <c r="BA16" s="326">
        <f t="shared" si="3"/>
        <v>0</v>
      </c>
      <c r="BB16" s="573" t="str">
        <f t="shared" si="2"/>
        <v>-</v>
      </c>
      <c r="BM16" s="1244">
        <v>1</v>
      </c>
      <c r="BN16" s="1245"/>
      <c r="BO16" s="5" t="s">
        <v>155</v>
      </c>
      <c r="BP16" s="5"/>
      <c r="BQ16" s="5"/>
      <c r="BR16" s="5"/>
      <c r="BS16" s="5"/>
      <c r="BT16" s="5"/>
      <c r="BU16" s="347" t="s">
        <v>156</v>
      </c>
      <c r="BV16" s="347"/>
      <c r="BW16" s="347"/>
      <c r="BX16" s="347"/>
      <c r="BY16" s="347"/>
      <c r="BZ16" s="347"/>
      <c r="CA16" s="1246">
        <f>(AX15/60)/(12*20)/BM15/BM16</f>
        <v>10</v>
      </c>
      <c r="CB16" s="1246"/>
      <c r="CC16" s="1246"/>
      <c r="CD16" s="347" t="s">
        <v>153</v>
      </c>
      <c r="CE16" s="347"/>
      <c r="CF16" s="347"/>
      <c r="CG16" s="347"/>
      <c r="CH16" s="347"/>
      <c r="CI16" s="347"/>
      <c r="CJ16" s="348"/>
    </row>
    <row r="17" spans="2:88" ht="20.25" customHeight="1">
      <c r="B17" s="517"/>
      <c r="C17" s="518"/>
      <c r="D17" s="518"/>
      <c r="E17" s="519"/>
      <c r="F17" s="1226" t="s">
        <v>158</v>
      </c>
      <c r="G17" s="1182"/>
      <c r="H17" s="1182"/>
      <c r="I17" s="1182"/>
      <c r="J17" s="1182"/>
      <c r="K17" s="1227" t="s">
        <v>150</v>
      </c>
      <c r="L17" s="1228"/>
      <c r="M17" s="1229"/>
      <c r="N17" s="1263">
        <f>'&lt;参考&gt;●現在の業務の総コスト'!$G$13</f>
        <v>3</v>
      </c>
      <c r="O17" s="1263"/>
      <c r="P17" s="1263"/>
      <c r="Q17" s="1263"/>
      <c r="R17" s="1263"/>
      <c r="S17" s="1264"/>
      <c r="X17" s="1248">
        <f>'&lt;参考&gt;●現在の業務の総コスト'!$G$5</f>
        <v>2400</v>
      </c>
      <c r="Y17" s="1249"/>
      <c r="Z17" s="1249"/>
      <c r="AA17" s="1249"/>
      <c r="AB17" s="1250"/>
      <c r="AD17" s="1152" t="s">
        <v>158</v>
      </c>
      <c r="AE17" s="1153"/>
      <c r="AF17" s="1153"/>
      <c r="AG17" s="1153"/>
      <c r="AH17" s="1153"/>
      <c r="AI17" s="1154"/>
      <c r="AJ17" s="1256" t="str">
        <f>BB17</f>
        <v>15日</v>
      </c>
      <c r="AK17" s="1257"/>
      <c r="AL17" s="1257"/>
      <c r="AM17" s="1257"/>
      <c r="AN17" s="1257"/>
      <c r="AO17" s="1257"/>
      <c r="AP17" s="1258"/>
      <c r="AQ17" s="342"/>
      <c r="AR17" s="342"/>
      <c r="AS17" s="342"/>
      <c r="AT17" s="342"/>
      <c r="AU17" s="342"/>
      <c r="AV17" s="342"/>
      <c r="AW17" s="342"/>
      <c r="AX17" s="326">
        <f>'&lt;参考&gt;●現在の業務の総コスト'!G26</f>
        <v>7200</v>
      </c>
      <c r="AY17" s="326">
        <f t="shared" si="0"/>
        <v>15</v>
      </c>
      <c r="AZ17" s="326">
        <f t="shared" si="1"/>
        <v>0</v>
      </c>
      <c r="BA17" s="326">
        <f t="shared" si="3"/>
        <v>0</v>
      </c>
      <c r="BB17" s="573" t="str">
        <f t="shared" si="2"/>
        <v>15日</v>
      </c>
      <c r="BM17" s="1242">
        <v>1</v>
      </c>
      <c r="BN17" s="1243"/>
      <c r="BO17" s="68" t="s">
        <v>151</v>
      </c>
      <c r="BP17" s="68"/>
      <c r="BQ17" s="68"/>
      <c r="BR17" s="68"/>
      <c r="BS17" s="68"/>
      <c r="BT17" s="68"/>
      <c r="BU17" s="349" t="s">
        <v>152</v>
      </c>
      <c r="BV17" s="349"/>
      <c r="BW17" s="349"/>
      <c r="BX17" s="349"/>
      <c r="BY17" s="349"/>
      <c r="BZ17" s="349"/>
      <c r="CA17" s="1247">
        <f>(AX17/60)/12/BM17/BM18</f>
        <v>10</v>
      </c>
      <c r="CB17" s="1247"/>
      <c r="CC17" s="1247"/>
      <c r="CD17" s="349" t="s">
        <v>153</v>
      </c>
      <c r="CE17" s="349"/>
      <c r="CF17" s="349"/>
      <c r="CG17" s="349"/>
      <c r="CH17" s="349"/>
      <c r="CI17" s="349"/>
      <c r="CJ17" s="350"/>
    </row>
    <row r="18" spans="2:88" ht="18" customHeight="1" thickBot="1">
      <c r="B18" s="520"/>
      <c r="C18" s="521"/>
      <c r="D18" s="521"/>
      <c r="E18" s="522"/>
      <c r="F18" s="1214"/>
      <c r="G18" s="700"/>
      <c r="H18" s="700"/>
      <c r="I18" s="700"/>
      <c r="J18" s="700"/>
      <c r="K18" s="1218" t="s">
        <v>154</v>
      </c>
      <c r="L18" s="1219"/>
      <c r="M18" s="1220"/>
      <c r="N18" s="1205">
        <f>'&lt;参考&gt;●現在の業務の総コスト'!$K$13</f>
        <v>7.8000000000000007</v>
      </c>
      <c r="O18" s="1205"/>
      <c r="P18" s="1205"/>
      <c r="Q18" s="1205"/>
      <c r="R18" s="1205"/>
      <c r="S18" s="1206"/>
      <c r="X18" s="1210"/>
      <c r="Y18" s="1211"/>
      <c r="Z18" s="1211"/>
      <c r="AA18" s="1211"/>
      <c r="AB18" s="1212"/>
      <c r="AD18" s="1155"/>
      <c r="AE18" s="1156"/>
      <c r="AF18" s="1156"/>
      <c r="AG18" s="1156"/>
      <c r="AH18" s="1156"/>
      <c r="AI18" s="1157"/>
      <c r="AJ18" s="1168">
        <f>'&lt;参考&gt;●現在の業務の総コスト'!$N$25</f>
        <v>18720</v>
      </c>
      <c r="AK18" s="1030"/>
      <c r="AL18" s="1030"/>
      <c r="AM18" s="1030"/>
      <c r="AN18" s="1030"/>
      <c r="AO18" s="1030"/>
      <c r="AP18" s="1031"/>
      <c r="AQ18" s="346"/>
      <c r="AR18" s="346"/>
      <c r="AS18" s="346"/>
      <c r="AT18" s="346"/>
      <c r="AU18" s="346"/>
      <c r="AV18" s="346"/>
      <c r="AW18" s="346"/>
      <c r="AX18" s="326"/>
      <c r="AY18" s="326">
        <f t="shared" si="0"/>
        <v>0</v>
      </c>
      <c r="AZ18" s="326">
        <f t="shared" si="1"/>
        <v>0</v>
      </c>
      <c r="BA18" s="326">
        <f t="shared" si="3"/>
        <v>0</v>
      </c>
      <c r="BB18" s="573" t="str">
        <f t="shared" si="2"/>
        <v>-</v>
      </c>
      <c r="BM18" s="1160">
        <v>1</v>
      </c>
      <c r="BN18" s="1161"/>
      <c r="BO18" s="8" t="s">
        <v>155</v>
      </c>
      <c r="BP18" s="8"/>
      <c r="BQ18" s="8"/>
      <c r="BR18" s="8"/>
      <c r="BS18" s="8"/>
      <c r="BT18" s="8"/>
      <c r="BU18" s="351" t="s">
        <v>156</v>
      </c>
      <c r="BV18" s="351"/>
      <c r="BW18" s="351"/>
      <c r="BX18" s="351"/>
      <c r="BY18" s="351"/>
      <c r="BZ18" s="351"/>
      <c r="CA18" s="1238">
        <f>(AX17/60)/(12*20)/BM17/BM18</f>
        <v>0.5</v>
      </c>
      <c r="CB18" s="1238"/>
      <c r="CC18" s="1238"/>
      <c r="CD18" s="351" t="s">
        <v>153</v>
      </c>
      <c r="CE18" s="351"/>
      <c r="CF18" s="351"/>
      <c r="CG18" s="351"/>
      <c r="CH18" s="351"/>
      <c r="CI18" s="351"/>
      <c r="CJ18" s="352"/>
    </row>
    <row r="19" spans="2:88" ht="20.25" customHeight="1">
      <c r="B19" s="514"/>
      <c r="C19" s="523"/>
      <c r="D19" s="523"/>
      <c r="E19" s="524"/>
      <c r="F19" s="1213" t="s">
        <v>159</v>
      </c>
      <c r="G19" s="698"/>
      <c r="H19" s="698"/>
      <c r="I19" s="698"/>
      <c r="J19" s="698"/>
      <c r="K19" s="1215" t="s">
        <v>150</v>
      </c>
      <c r="L19" s="1216"/>
      <c r="M19" s="1217"/>
      <c r="N19" s="1259">
        <f>'&lt;参考&gt;●現在の業務の総コスト'!$G$14</f>
        <v>0</v>
      </c>
      <c r="O19" s="1259"/>
      <c r="P19" s="1259"/>
      <c r="Q19" s="1259"/>
      <c r="R19" s="1259"/>
      <c r="S19" s="1260"/>
      <c r="X19" s="1207">
        <f>'&lt;参考&gt;●現在の業務の総コスト'!$O$6</f>
        <v>0</v>
      </c>
      <c r="Y19" s="1208"/>
      <c r="Z19" s="1208"/>
      <c r="AA19" s="1208"/>
      <c r="AB19" s="1209"/>
      <c r="AD19" s="1162" t="s">
        <v>159</v>
      </c>
      <c r="AE19" s="1163"/>
      <c r="AF19" s="1163"/>
      <c r="AG19" s="1163"/>
      <c r="AH19" s="1163"/>
      <c r="AI19" s="1164"/>
      <c r="AJ19" s="1165" t="str">
        <f>BB19</f>
        <v>-</v>
      </c>
      <c r="AK19" s="1166"/>
      <c r="AL19" s="1166"/>
      <c r="AM19" s="1166"/>
      <c r="AN19" s="1166"/>
      <c r="AO19" s="1166"/>
      <c r="AP19" s="1167"/>
      <c r="AQ19" s="342"/>
      <c r="AR19" s="342"/>
      <c r="AS19" s="342"/>
      <c r="AT19" s="342"/>
      <c r="AU19" s="342"/>
      <c r="AV19" s="342"/>
      <c r="AW19" s="342"/>
      <c r="AX19" s="326">
        <f>'&lt;参考&gt;●現在の業務の総コスト'!G28</f>
        <v>0</v>
      </c>
      <c r="AY19" s="326">
        <f t="shared" si="0"/>
        <v>0</v>
      </c>
      <c r="AZ19" s="326">
        <f t="shared" si="1"/>
        <v>0</v>
      </c>
      <c r="BA19" s="326">
        <f t="shared" si="3"/>
        <v>0</v>
      </c>
      <c r="BB19" s="573" t="str">
        <f t="shared" si="2"/>
        <v>-</v>
      </c>
      <c r="BM19" s="1236">
        <v>3</v>
      </c>
      <c r="BN19" s="1237"/>
      <c r="BO19" s="343" t="s">
        <v>151</v>
      </c>
      <c r="BP19" s="343"/>
      <c r="BQ19" s="343"/>
      <c r="BR19" s="343"/>
      <c r="BS19" s="343"/>
      <c r="BT19" s="343"/>
      <c r="BU19" s="344" t="s">
        <v>152</v>
      </c>
      <c r="BV19" s="344"/>
      <c r="BW19" s="344"/>
      <c r="BX19" s="344"/>
      <c r="BY19" s="344"/>
      <c r="BZ19" s="344"/>
      <c r="CA19" s="1241">
        <f>(AX19/60)/12/BM19/BM20</f>
        <v>0</v>
      </c>
      <c r="CB19" s="1241"/>
      <c r="CC19" s="1241"/>
      <c r="CD19" s="344" t="s">
        <v>153</v>
      </c>
      <c r="CE19" s="344"/>
      <c r="CF19" s="344"/>
      <c r="CG19" s="344"/>
      <c r="CH19" s="344"/>
      <c r="CI19" s="344"/>
      <c r="CJ19" s="345"/>
    </row>
    <row r="20" spans="2:88" ht="18" customHeight="1" thickBot="1">
      <c r="B20" s="525"/>
      <c r="C20" s="526"/>
      <c r="D20" s="526"/>
      <c r="E20" s="527"/>
      <c r="F20" s="1214"/>
      <c r="G20" s="700"/>
      <c r="H20" s="700"/>
      <c r="I20" s="700"/>
      <c r="J20" s="700"/>
      <c r="K20" s="1218" t="s">
        <v>154</v>
      </c>
      <c r="L20" s="1219"/>
      <c r="M20" s="1220"/>
      <c r="N20" s="1205">
        <f>'&lt;参考&gt;●現在の業務の総コスト'!$K$14</f>
        <v>0</v>
      </c>
      <c r="O20" s="1205"/>
      <c r="P20" s="1205"/>
      <c r="Q20" s="1205"/>
      <c r="R20" s="1205"/>
      <c r="S20" s="1206"/>
      <c r="X20" s="1210"/>
      <c r="Y20" s="1211"/>
      <c r="Z20" s="1211"/>
      <c r="AA20" s="1211"/>
      <c r="AB20" s="1212"/>
      <c r="AD20" s="1155"/>
      <c r="AE20" s="1156"/>
      <c r="AF20" s="1156"/>
      <c r="AG20" s="1156"/>
      <c r="AH20" s="1156"/>
      <c r="AI20" s="1157"/>
      <c r="AJ20" s="1168">
        <f>'&lt;参考&gt;●現在の業務の総コスト'!$N$27</f>
        <v>0</v>
      </c>
      <c r="AK20" s="1030"/>
      <c r="AL20" s="1030"/>
      <c r="AM20" s="1030"/>
      <c r="AN20" s="1030"/>
      <c r="AO20" s="1030"/>
      <c r="AP20" s="1031"/>
      <c r="AQ20" s="346"/>
      <c r="AR20" s="346"/>
      <c r="AS20" s="346"/>
      <c r="AT20" s="346"/>
      <c r="AU20" s="346"/>
      <c r="AV20" s="346"/>
      <c r="AW20" s="346"/>
      <c r="AX20" s="326"/>
      <c r="AY20" s="326">
        <f t="shared" si="0"/>
        <v>0</v>
      </c>
      <c r="AZ20" s="326">
        <f t="shared" si="1"/>
        <v>0</v>
      </c>
      <c r="BA20" s="326">
        <f t="shared" si="3"/>
        <v>0</v>
      </c>
      <c r="BB20" s="573" t="str">
        <f t="shared" si="2"/>
        <v>-</v>
      </c>
      <c r="BM20" s="1160">
        <v>1</v>
      </c>
      <c r="BN20" s="1161"/>
      <c r="BO20" s="8" t="s">
        <v>155</v>
      </c>
      <c r="BP20" s="8"/>
      <c r="BQ20" s="8"/>
      <c r="BR20" s="8"/>
      <c r="BS20" s="8"/>
      <c r="BT20" s="8"/>
      <c r="BU20" s="351" t="s">
        <v>156</v>
      </c>
      <c r="BV20" s="351"/>
      <c r="BW20" s="351"/>
      <c r="BX20" s="351"/>
      <c r="BY20" s="351"/>
      <c r="BZ20" s="351"/>
      <c r="CA20" s="1238">
        <f>(AX19/60)/(12*20)/BM19/BM20</f>
        <v>0</v>
      </c>
      <c r="CB20" s="1238"/>
      <c r="CC20" s="1238"/>
      <c r="CD20" s="351" t="s">
        <v>153</v>
      </c>
      <c r="CE20" s="351"/>
      <c r="CF20" s="351"/>
      <c r="CG20" s="351"/>
      <c r="CH20" s="351"/>
      <c r="CI20" s="351"/>
      <c r="CJ20" s="352"/>
    </row>
    <row r="21" spans="2:88" ht="20.25" customHeight="1">
      <c r="B21" s="528"/>
      <c r="C21" s="523"/>
      <c r="D21" s="523"/>
      <c r="E21" s="524"/>
      <c r="F21" s="1213" t="s">
        <v>160</v>
      </c>
      <c r="G21" s="698"/>
      <c r="H21" s="698"/>
      <c r="I21" s="698"/>
      <c r="J21" s="698"/>
      <c r="K21" s="1215" t="s">
        <v>150</v>
      </c>
      <c r="L21" s="1216"/>
      <c r="M21" s="1217"/>
      <c r="N21" s="1259">
        <f>'&lt;参考&gt;●現在の業務の総コスト'!$G$15</f>
        <v>0</v>
      </c>
      <c r="O21" s="1259"/>
      <c r="P21" s="1259"/>
      <c r="Q21" s="1259"/>
      <c r="R21" s="1259"/>
      <c r="S21" s="1260"/>
      <c r="X21" s="1207">
        <f>'&lt;参考&gt;●現在の業務の総コスト'!$O$6</f>
        <v>0</v>
      </c>
      <c r="Y21" s="1208"/>
      <c r="Z21" s="1208"/>
      <c r="AA21" s="1208"/>
      <c r="AB21" s="1209"/>
      <c r="AD21" s="1162" t="s">
        <v>160</v>
      </c>
      <c r="AE21" s="1163"/>
      <c r="AF21" s="1163"/>
      <c r="AG21" s="1163"/>
      <c r="AH21" s="1163"/>
      <c r="AI21" s="1164"/>
      <c r="AJ21" s="1165" t="str">
        <f>BB21</f>
        <v>-</v>
      </c>
      <c r="AK21" s="1166"/>
      <c r="AL21" s="1166"/>
      <c r="AM21" s="1166"/>
      <c r="AN21" s="1166"/>
      <c r="AO21" s="1166"/>
      <c r="AP21" s="1167"/>
      <c r="AQ21" s="342"/>
      <c r="AR21" s="342"/>
      <c r="AS21" s="342"/>
      <c r="AT21" s="342"/>
      <c r="AU21" s="342"/>
      <c r="AV21" s="342"/>
      <c r="AW21" s="342"/>
      <c r="AX21" s="326">
        <f>'&lt;参考&gt;●現在の業務の総コスト'!G30</f>
        <v>0</v>
      </c>
      <c r="AY21" s="326">
        <f t="shared" si="0"/>
        <v>0</v>
      </c>
      <c r="AZ21" s="326">
        <f t="shared" si="1"/>
        <v>0</v>
      </c>
      <c r="BA21" s="326">
        <f t="shared" si="3"/>
        <v>0</v>
      </c>
      <c r="BB21" s="573" t="str">
        <f t="shared" si="2"/>
        <v>-</v>
      </c>
      <c r="BM21" s="1236">
        <v>1</v>
      </c>
      <c r="BN21" s="1237"/>
      <c r="BO21" s="343" t="s">
        <v>151</v>
      </c>
      <c r="BP21" s="343"/>
      <c r="BQ21" s="343"/>
      <c r="BR21" s="343"/>
      <c r="BS21" s="343"/>
      <c r="BT21" s="343"/>
      <c r="BU21" s="344" t="s">
        <v>152</v>
      </c>
      <c r="BV21" s="344"/>
      <c r="BW21" s="344"/>
      <c r="BX21" s="344"/>
      <c r="BY21" s="344"/>
      <c r="BZ21" s="344"/>
      <c r="CA21" s="1241">
        <f>(AX21/60)/12/BM21/BM22</f>
        <v>0</v>
      </c>
      <c r="CB21" s="1241"/>
      <c r="CC21" s="1241"/>
      <c r="CD21" s="344" t="s">
        <v>153</v>
      </c>
      <c r="CE21" s="344"/>
      <c r="CF21" s="344"/>
      <c r="CG21" s="344"/>
      <c r="CH21" s="344"/>
      <c r="CI21" s="344"/>
      <c r="CJ21" s="345"/>
    </row>
    <row r="22" spans="2:88" ht="18" customHeight="1" thickBot="1">
      <c r="B22" s="525"/>
      <c r="C22" s="526"/>
      <c r="D22" s="526"/>
      <c r="E22" s="527"/>
      <c r="F22" s="1214"/>
      <c r="G22" s="700"/>
      <c r="H22" s="700"/>
      <c r="I22" s="700"/>
      <c r="J22" s="700"/>
      <c r="K22" s="1218" t="s">
        <v>154</v>
      </c>
      <c r="L22" s="1219"/>
      <c r="M22" s="1220"/>
      <c r="N22" s="1205">
        <f>'&lt;参考&gt;●現在の業務の総コスト'!$K$15</f>
        <v>0</v>
      </c>
      <c r="O22" s="1205"/>
      <c r="P22" s="1205"/>
      <c r="Q22" s="1205"/>
      <c r="R22" s="1205"/>
      <c r="S22" s="1206"/>
      <c r="X22" s="1210"/>
      <c r="Y22" s="1211"/>
      <c r="Z22" s="1211"/>
      <c r="AA22" s="1211"/>
      <c r="AB22" s="1212"/>
      <c r="AD22" s="1155"/>
      <c r="AE22" s="1156"/>
      <c r="AF22" s="1156"/>
      <c r="AG22" s="1156"/>
      <c r="AH22" s="1156"/>
      <c r="AI22" s="1157"/>
      <c r="AJ22" s="1168">
        <f>'&lt;参考&gt;●現在の業務の総コスト'!$N$29</f>
        <v>0</v>
      </c>
      <c r="AK22" s="1030"/>
      <c r="AL22" s="1030"/>
      <c r="AM22" s="1030"/>
      <c r="AN22" s="1030"/>
      <c r="AO22" s="1030"/>
      <c r="AP22" s="1031"/>
      <c r="AQ22" s="346"/>
      <c r="AR22" s="346"/>
      <c r="AS22" s="346"/>
      <c r="AT22" s="346"/>
      <c r="AU22" s="346"/>
      <c r="AV22" s="346"/>
      <c r="AW22" s="346"/>
      <c r="AX22" s="326"/>
      <c r="AY22" s="326">
        <f t="shared" si="0"/>
        <v>0</v>
      </c>
      <c r="AZ22" s="326">
        <f t="shared" si="1"/>
        <v>0</v>
      </c>
      <c r="BA22" s="326">
        <f t="shared" si="3"/>
        <v>0</v>
      </c>
      <c r="BB22" s="573" t="str">
        <f t="shared" si="2"/>
        <v>-</v>
      </c>
      <c r="BM22" s="1160">
        <v>1</v>
      </c>
      <c r="BN22" s="1161"/>
      <c r="BO22" s="8" t="s">
        <v>155</v>
      </c>
      <c r="BP22" s="8"/>
      <c r="BQ22" s="8"/>
      <c r="BR22" s="8"/>
      <c r="BS22" s="8"/>
      <c r="BT22" s="8"/>
      <c r="BU22" s="351" t="s">
        <v>156</v>
      </c>
      <c r="BV22" s="351"/>
      <c r="BW22" s="351"/>
      <c r="BX22" s="351"/>
      <c r="BY22" s="351"/>
      <c r="BZ22" s="351"/>
      <c r="CA22" s="1238">
        <f>(AX21/60)/(12*20)/BM21/BM22</f>
        <v>0</v>
      </c>
      <c r="CB22" s="1238"/>
      <c r="CC22" s="1238"/>
      <c r="CD22" s="351" t="s">
        <v>153</v>
      </c>
      <c r="CE22" s="351"/>
      <c r="CF22" s="351"/>
      <c r="CG22" s="351"/>
      <c r="CH22" s="351"/>
      <c r="CI22" s="351"/>
      <c r="CJ22" s="352"/>
    </row>
    <row r="23" spans="2:88" ht="18" customHeight="1">
      <c r="AD23" s="1162" t="s">
        <v>487</v>
      </c>
      <c r="AE23" s="1163"/>
      <c r="AF23" s="1163"/>
      <c r="AG23" s="1163"/>
      <c r="AH23" s="1163"/>
      <c r="AI23" s="1164"/>
      <c r="AJ23" s="1165" t="str">
        <f>BB23</f>
        <v>3時間</v>
      </c>
      <c r="AK23" s="1166"/>
      <c r="AL23" s="1166"/>
      <c r="AM23" s="1166"/>
      <c r="AN23" s="1166"/>
      <c r="AO23" s="1166"/>
      <c r="AP23" s="1167"/>
      <c r="AQ23" s="342"/>
      <c r="AR23" s="342"/>
      <c r="AS23" s="342"/>
      <c r="AT23" s="342"/>
      <c r="AU23" s="342"/>
      <c r="AV23" s="342"/>
      <c r="AW23" s="342"/>
      <c r="AX23" s="326">
        <f>'&lt;参考&gt;●現在の業務の総コスト'!G32</f>
        <v>180</v>
      </c>
      <c r="AY23" s="326">
        <f t="shared" si="0"/>
        <v>0</v>
      </c>
      <c r="AZ23" s="326">
        <f t="shared" si="1"/>
        <v>3</v>
      </c>
      <c r="BA23" s="326">
        <f t="shared" si="3"/>
        <v>0</v>
      </c>
      <c r="BB23" s="573" t="str">
        <f t="shared" si="2"/>
        <v>3時間</v>
      </c>
    </row>
    <row r="24" spans="2:88" ht="18" customHeight="1" thickBot="1">
      <c r="AD24" s="1155"/>
      <c r="AE24" s="1156"/>
      <c r="AF24" s="1156"/>
      <c r="AG24" s="1156"/>
      <c r="AH24" s="1156"/>
      <c r="AI24" s="1157"/>
      <c r="AJ24" s="1168">
        <f>'&lt;参考&gt;●現在の業務の総コスト'!$N$31</f>
        <v>120000</v>
      </c>
      <c r="AK24" s="1030"/>
      <c r="AL24" s="1030"/>
      <c r="AM24" s="1030"/>
      <c r="AN24" s="1030"/>
      <c r="AO24" s="1030"/>
      <c r="AP24" s="1031"/>
      <c r="AQ24" s="346"/>
      <c r="AR24" s="346"/>
      <c r="AS24" s="346"/>
      <c r="AT24" s="346"/>
      <c r="AU24" s="346"/>
      <c r="AV24" s="346"/>
      <c r="AW24" s="346"/>
      <c r="AX24" s="326"/>
      <c r="AY24" s="326">
        <f t="shared" si="0"/>
        <v>0</v>
      </c>
      <c r="AZ24" s="326">
        <f t="shared" si="1"/>
        <v>0</v>
      </c>
      <c r="BA24" s="326">
        <f t="shared" si="3"/>
        <v>0</v>
      </c>
      <c r="BB24" s="573" t="str">
        <f t="shared" si="2"/>
        <v>-</v>
      </c>
    </row>
    <row r="25" spans="2:88" ht="18" customHeight="1">
      <c r="AD25" s="1169" t="s">
        <v>161</v>
      </c>
      <c r="AE25" s="1170"/>
      <c r="AF25" s="1170"/>
      <c r="AG25" s="1170"/>
      <c r="AH25" s="1170"/>
      <c r="AI25" s="1170"/>
      <c r="AJ25" s="1239" t="str">
        <f>BB25</f>
        <v>315日3時間</v>
      </c>
      <c r="AK25" s="1239"/>
      <c r="AL25" s="1239"/>
      <c r="AM25" s="1239"/>
      <c r="AN25" s="1239"/>
      <c r="AO25" s="1239"/>
      <c r="AP25" s="1240"/>
      <c r="AQ25" s="342"/>
      <c r="AR25" s="342"/>
      <c r="AS25" s="342"/>
      <c r="AT25" s="342"/>
      <c r="AU25" s="342"/>
      <c r="AV25" s="342"/>
      <c r="AW25" s="342"/>
      <c r="AX25" s="326">
        <f>SUM(AX11:AX23)</f>
        <v>151380</v>
      </c>
      <c r="AY25" s="326">
        <f t="shared" si="0"/>
        <v>315</v>
      </c>
      <c r="AZ25" s="326">
        <f t="shared" si="1"/>
        <v>3</v>
      </c>
      <c r="BA25" s="326">
        <f t="shared" si="3"/>
        <v>0</v>
      </c>
      <c r="BB25" s="573" t="str">
        <f t="shared" si="2"/>
        <v>315日3時間</v>
      </c>
    </row>
    <row r="26" spans="2:88" ht="18" customHeight="1" thickBot="1">
      <c r="AD26" s="1158" t="s">
        <v>162</v>
      </c>
      <c r="AE26" s="1159"/>
      <c r="AF26" s="1159"/>
      <c r="AG26" s="1159"/>
      <c r="AH26" s="1159"/>
      <c r="AI26" s="1159"/>
      <c r="AJ26" s="1018">
        <f>AJ12+AJ14+AJ16+AJ18+AJ20+AJ22+AJ24</f>
        <v>428160</v>
      </c>
      <c r="AK26" s="1018"/>
      <c r="AL26" s="1018"/>
      <c r="AM26" s="1018"/>
      <c r="AN26" s="1018"/>
      <c r="AO26" s="1018"/>
      <c r="AP26" s="1019"/>
      <c r="AQ26" s="346"/>
      <c r="AR26" s="346"/>
      <c r="AS26" s="346"/>
      <c r="AT26" s="346"/>
      <c r="AU26" s="346"/>
      <c r="AV26" s="346"/>
      <c r="AW26" s="346"/>
      <c r="AX26" s="576"/>
      <c r="AY26" s="576"/>
      <c r="AZ26" s="576"/>
      <c r="BA26" s="576"/>
      <c r="BB26" s="576"/>
    </row>
    <row r="27" spans="2:88" ht="17.25">
      <c r="AD27" s="1144" t="s">
        <v>164</v>
      </c>
      <c r="AE27" s="1145"/>
      <c r="AF27" s="1145"/>
      <c r="AG27" s="1145"/>
      <c r="AH27" s="1145"/>
      <c r="AI27" s="1145"/>
      <c r="AJ27" s="1148">
        <f>($AX$25/60)*基礎情報!$J$4+AJ26</f>
        <v>7997160</v>
      </c>
      <c r="AK27" s="1148"/>
      <c r="AL27" s="1148"/>
      <c r="AM27" s="1148"/>
      <c r="AN27" s="1148"/>
      <c r="AO27" s="1148"/>
      <c r="AP27" s="1149"/>
      <c r="AQ27" s="353"/>
      <c r="AR27" s="353"/>
      <c r="AS27" s="353"/>
      <c r="AT27" s="353"/>
      <c r="AU27" s="353"/>
      <c r="AV27" s="353"/>
      <c r="AW27" s="353"/>
      <c r="AX27" s="577"/>
      <c r="AY27" s="577"/>
      <c r="AZ27" s="577"/>
      <c r="BA27" s="577"/>
      <c r="BB27" s="577"/>
    </row>
    <row r="28" spans="2:88" ht="18" thickBot="1">
      <c r="AD28" s="1146"/>
      <c r="AE28" s="1147"/>
      <c r="AF28" s="1147"/>
      <c r="AG28" s="1147"/>
      <c r="AH28" s="1147"/>
      <c r="AI28" s="1147"/>
      <c r="AJ28" s="1150"/>
      <c r="AK28" s="1150"/>
      <c r="AL28" s="1150"/>
      <c r="AM28" s="1150"/>
      <c r="AN28" s="1150"/>
      <c r="AO28" s="1150"/>
      <c r="AP28" s="1151"/>
      <c r="AQ28" s="353"/>
      <c r="AR28" s="353"/>
      <c r="AS28" s="353"/>
      <c r="AT28" s="353"/>
      <c r="AU28" s="353"/>
      <c r="AV28" s="353"/>
      <c r="AW28" s="353"/>
      <c r="AX28" s="577"/>
      <c r="AY28" s="577"/>
      <c r="AZ28" s="577"/>
      <c r="BA28" s="577"/>
      <c r="BB28" s="577"/>
    </row>
    <row r="30" spans="2:88" ht="14.25" thickBot="1">
      <c r="B30" s="27" t="s">
        <v>165</v>
      </c>
      <c r="C30" s="29"/>
      <c r="D30" s="28"/>
      <c r="E30" s="28"/>
      <c r="F30" s="28"/>
      <c r="G30" s="28"/>
      <c r="H30" s="28"/>
      <c r="I30" s="28"/>
      <c r="J30" s="28"/>
      <c r="K30" s="28"/>
      <c r="L30" s="28"/>
      <c r="M30" s="28"/>
      <c r="N30" s="28"/>
      <c r="O30" s="28"/>
      <c r="P30" s="28"/>
      <c r="Q30" s="28"/>
      <c r="R30" s="28"/>
      <c r="S30" s="28"/>
      <c r="T30" s="28"/>
    </row>
    <row r="32" spans="2:88" ht="13.5" customHeight="1">
      <c r="B32" s="1191" t="s">
        <v>166</v>
      </c>
      <c r="C32" s="1192"/>
      <c r="D32" s="1192"/>
      <c r="E32" s="1192"/>
      <c r="F32" s="1192"/>
      <c r="G32" s="1192"/>
      <c r="H32" s="1192"/>
      <c r="I32" s="1192"/>
      <c r="J32" s="1192"/>
      <c r="K32" s="1192"/>
      <c r="L32" s="1192"/>
      <c r="M32" s="1192"/>
      <c r="N32" s="1192"/>
      <c r="O32" s="1192"/>
      <c r="P32" s="1192"/>
      <c r="Q32" s="1192"/>
      <c r="R32" s="1192"/>
      <c r="S32" s="1193"/>
      <c r="X32" s="1138" t="s">
        <v>167</v>
      </c>
      <c r="Y32" s="1139"/>
      <c r="Z32" s="1139"/>
      <c r="AA32" s="1139"/>
      <c r="AB32" s="1139"/>
      <c r="AC32" s="1139"/>
      <c r="AD32" s="1139"/>
      <c r="AE32" s="1139"/>
      <c r="AF32" s="1139"/>
      <c r="AG32" s="1139"/>
      <c r="AH32" s="1139"/>
      <c r="AI32" s="1139"/>
      <c r="AJ32" s="1139"/>
      <c r="AK32" s="1139"/>
      <c r="AL32" s="1139"/>
      <c r="AM32" s="1139"/>
      <c r="AN32" s="1139"/>
      <c r="AO32" s="1139"/>
      <c r="AP32" s="1139"/>
      <c r="AQ32" s="1139"/>
      <c r="AR32" s="1139"/>
      <c r="AS32" s="1140"/>
    </row>
    <row r="33" spans="2:54">
      <c r="B33" s="1194"/>
      <c r="C33" s="1195"/>
      <c r="D33" s="1195"/>
      <c r="E33" s="1195"/>
      <c r="F33" s="1195"/>
      <c r="G33" s="1195"/>
      <c r="H33" s="1195"/>
      <c r="I33" s="1195"/>
      <c r="J33" s="1195"/>
      <c r="K33" s="1195"/>
      <c r="L33" s="1195"/>
      <c r="M33" s="1195"/>
      <c r="N33" s="1195"/>
      <c r="O33" s="1195"/>
      <c r="P33" s="1195"/>
      <c r="Q33" s="1195"/>
      <c r="R33" s="1195"/>
      <c r="S33" s="1196"/>
      <c r="X33" s="1141"/>
      <c r="Y33" s="1142"/>
      <c r="Z33" s="1142"/>
      <c r="AA33" s="1142"/>
      <c r="AB33" s="1142"/>
      <c r="AC33" s="1142"/>
      <c r="AD33" s="1142"/>
      <c r="AE33" s="1142"/>
      <c r="AF33" s="1142"/>
      <c r="AG33" s="1142"/>
      <c r="AH33" s="1142"/>
      <c r="AI33" s="1142"/>
      <c r="AJ33" s="1142"/>
      <c r="AK33" s="1142"/>
      <c r="AL33" s="1142"/>
      <c r="AM33" s="1142"/>
      <c r="AN33" s="1142"/>
      <c r="AO33" s="1142"/>
      <c r="AP33" s="1142"/>
      <c r="AQ33" s="1142"/>
      <c r="AR33" s="1142"/>
      <c r="AS33" s="1143"/>
    </row>
    <row r="34" spans="2:54" ht="14.25" thickBot="1">
      <c r="AX34" s="572" t="s">
        <v>829</v>
      </c>
      <c r="AY34" s="572" t="s">
        <v>825</v>
      </c>
      <c r="AZ34" s="572" t="s">
        <v>428</v>
      </c>
      <c r="BA34" s="572" t="s">
        <v>523</v>
      </c>
      <c r="BB34" s="572" t="s">
        <v>831</v>
      </c>
    </row>
    <row r="35" spans="2:54" ht="17.25" customHeight="1">
      <c r="B35" s="1201" t="s">
        <v>142</v>
      </c>
      <c r="C35" s="1202"/>
      <c r="D35" s="1202"/>
      <c r="E35" s="1202"/>
      <c r="F35" s="1197" t="s">
        <v>143</v>
      </c>
      <c r="G35" s="1048"/>
      <c r="H35" s="1048"/>
      <c r="I35" s="1048"/>
      <c r="J35" s="1048"/>
      <c r="K35" s="1048"/>
      <c r="L35" s="1048"/>
      <c r="M35" s="1198"/>
      <c r="N35" s="1230" t="s">
        <v>168</v>
      </c>
      <c r="O35" s="1231"/>
      <c r="P35" s="1231"/>
      <c r="Q35" s="1231"/>
      <c r="R35" s="1231"/>
      <c r="S35" s="1232"/>
      <c r="X35" s="1116" t="s">
        <v>703</v>
      </c>
      <c r="Y35" s="1117"/>
      <c r="Z35" s="1117"/>
      <c r="AA35" s="1117"/>
      <c r="AB35" s="1117"/>
      <c r="AC35" s="1171" t="s">
        <v>169</v>
      </c>
      <c r="AD35" s="1171"/>
      <c r="AE35" s="1171"/>
      <c r="AF35" s="1171"/>
      <c r="AG35" s="1171"/>
      <c r="AH35" s="1172"/>
      <c r="AK35" s="1126" t="s">
        <v>170</v>
      </c>
      <c r="AL35" s="1127"/>
      <c r="AM35" s="1127"/>
      <c r="AN35" s="1127"/>
      <c r="AO35" s="1127"/>
      <c r="AP35" s="1128"/>
      <c r="AQ35" s="1132" t="s">
        <v>171</v>
      </c>
      <c r="AR35" s="1133"/>
      <c r="AS35" s="1134"/>
      <c r="AX35" s="326"/>
      <c r="AY35" s="326">
        <f t="shared" ref="AY35:AY48" si="4">INT(AX35/$AY$6/60)</f>
        <v>0</v>
      </c>
      <c r="AZ35" s="326">
        <f t="shared" ref="AZ35:AZ48" si="5">INT((AX35-AY35*60*$AY$6)/60)</f>
        <v>0</v>
      </c>
      <c r="BA35" s="326">
        <f t="shared" ref="BA35:BA48" si="6">ROUND(MOD(AX35,60),0)</f>
        <v>0</v>
      </c>
      <c r="BB35" s="573" t="str">
        <f t="shared" ref="BB35:BB48" si="7">IF(AX35=0,"-",IF(AY35=0,"",AY35&amp;"日")&amp;IF(AZ35=0,"",AZ35&amp;"時間")&amp;IF(BA35=0,"",BA35&amp;"分"))</f>
        <v>-</v>
      </c>
    </row>
    <row r="36" spans="2:54" ht="17.25" customHeight="1" thickBot="1">
      <c r="B36" s="1203"/>
      <c r="C36" s="1204"/>
      <c r="D36" s="1204"/>
      <c r="E36" s="1204"/>
      <c r="F36" s="1199"/>
      <c r="G36" s="1051"/>
      <c r="H36" s="1051"/>
      <c r="I36" s="1051"/>
      <c r="J36" s="1051"/>
      <c r="K36" s="1051"/>
      <c r="L36" s="1051"/>
      <c r="M36" s="1200"/>
      <c r="N36" s="1233"/>
      <c r="O36" s="1234"/>
      <c r="P36" s="1234"/>
      <c r="Q36" s="1234"/>
      <c r="R36" s="1234"/>
      <c r="S36" s="1235"/>
      <c r="X36" s="1118"/>
      <c r="Y36" s="1119"/>
      <c r="Z36" s="1119"/>
      <c r="AA36" s="1119"/>
      <c r="AB36" s="1119"/>
      <c r="AC36" s="1173"/>
      <c r="AD36" s="1173"/>
      <c r="AE36" s="1173"/>
      <c r="AF36" s="1173"/>
      <c r="AG36" s="1173"/>
      <c r="AH36" s="1174"/>
      <c r="AK36" s="1129"/>
      <c r="AL36" s="1130"/>
      <c r="AM36" s="1130"/>
      <c r="AN36" s="1130"/>
      <c r="AO36" s="1130"/>
      <c r="AP36" s="1131"/>
      <c r="AQ36" s="1135"/>
      <c r="AR36" s="1136"/>
      <c r="AS36" s="1137"/>
      <c r="AX36" s="326"/>
      <c r="AY36" s="326">
        <f t="shared" si="4"/>
        <v>0</v>
      </c>
      <c r="AZ36" s="326">
        <f t="shared" si="5"/>
        <v>0</v>
      </c>
      <c r="BA36" s="326">
        <f t="shared" si="6"/>
        <v>0</v>
      </c>
      <c r="BB36" s="573" t="str">
        <f t="shared" si="7"/>
        <v>-</v>
      </c>
    </row>
    <row r="37" spans="2:54" ht="21" customHeight="1">
      <c r="B37" s="514"/>
      <c r="C37" s="515"/>
      <c r="D37" s="515"/>
      <c r="E37" s="516"/>
      <c r="F37" s="1213" t="s">
        <v>149</v>
      </c>
      <c r="G37" s="698"/>
      <c r="H37" s="698"/>
      <c r="I37" s="698"/>
      <c r="J37" s="698"/>
      <c r="K37" s="1215" t="s">
        <v>150</v>
      </c>
      <c r="L37" s="1216"/>
      <c r="M37" s="1217"/>
      <c r="N37" s="1098">
        <f t="shared" ref="N37:N48" si="8">N11</f>
        <v>0</v>
      </c>
      <c r="O37" s="1098"/>
      <c r="P37" s="1098"/>
      <c r="Q37" s="1098"/>
      <c r="R37" s="1098"/>
      <c r="S37" s="1100"/>
      <c r="X37" s="1175" t="s">
        <v>149</v>
      </c>
      <c r="Y37" s="1176"/>
      <c r="Z37" s="1176"/>
      <c r="AA37" s="1176"/>
      <c r="AB37" s="1176"/>
      <c r="AC37" s="1098">
        <f>'&lt;参考&gt;●現在の業務の総コスト'!Z10</f>
        <v>0</v>
      </c>
      <c r="AD37" s="1098"/>
      <c r="AE37" s="1098"/>
      <c r="AF37" s="1098"/>
      <c r="AG37" s="1098"/>
      <c r="AH37" s="1100"/>
      <c r="AK37" s="1097">
        <f>AC37-N37</f>
        <v>0</v>
      </c>
      <c r="AL37" s="1098"/>
      <c r="AM37" s="1098"/>
      <c r="AN37" s="1098"/>
      <c r="AO37" s="1098"/>
      <c r="AP37" s="1099"/>
      <c r="AQ37" s="1106">
        <f t="shared" ref="AQ37:AQ48" si="9">IF(ISERROR(1-(AC37/N37)),0,1-(AC37/N37))</f>
        <v>0</v>
      </c>
      <c r="AR37" s="1107"/>
      <c r="AS37" s="1108"/>
      <c r="AT37" s="354"/>
      <c r="AX37" s="326"/>
      <c r="AY37" s="326">
        <f t="shared" si="4"/>
        <v>0</v>
      </c>
      <c r="AZ37" s="326">
        <f t="shared" si="5"/>
        <v>0</v>
      </c>
      <c r="BA37" s="326">
        <f t="shared" si="6"/>
        <v>0</v>
      </c>
      <c r="BB37" s="573" t="str">
        <f t="shared" si="7"/>
        <v>-</v>
      </c>
    </row>
    <row r="38" spans="2:54" ht="18" customHeight="1">
      <c r="B38" s="517"/>
      <c r="C38" s="518"/>
      <c r="D38" s="518"/>
      <c r="E38" s="519"/>
      <c r="F38" s="1221"/>
      <c r="G38" s="1222"/>
      <c r="H38" s="1222"/>
      <c r="I38" s="1222"/>
      <c r="J38" s="1222"/>
      <c r="K38" s="1223" t="s">
        <v>154</v>
      </c>
      <c r="L38" s="1224"/>
      <c r="M38" s="1225"/>
      <c r="N38" s="1101">
        <f t="shared" si="8"/>
        <v>0</v>
      </c>
      <c r="O38" s="1101"/>
      <c r="P38" s="1101"/>
      <c r="Q38" s="1101"/>
      <c r="R38" s="1101"/>
      <c r="S38" s="1102"/>
      <c r="X38" s="1179"/>
      <c r="Y38" s="1180"/>
      <c r="Z38" s="1180"/>
      <c r="AA38" s="1180"/>
      <c r="AB38" s="1180"/>
      <c r="AC38" s="1101">
        <f>'&lt;参考&gt;●現在の業務の総コスト'!AH10</f>
        <v>0</v>
      </c>
      <c r="AD38" s="1101"/>
      <c r="AE38" s="1101"/>
      <c r="AF38" s="1101"/>
      <c r="AG38" s="1101"/>
      <c r="AH38" s="1102"/>
      <c r="AK38" s="1112">
        <f t="shared" ref="AK38:AK48" si="10">AC38-N38</f>
        <v>0</v>
      </c>
      <c r="AL38" s="1101"/>
      <c r="AM38" s="1101"/>
      <c r="AN38" s="1101"/>
      <c r="AO38" s="1101"/>
      <c r="AP38" s="1113"/>
      <c r="AQ38" s="1109">
        <f t="shared" si="9"/>
        <v>0</v>
      </c>
      <c r="AR38" s="1110"/>
      <c r="AS38" s="1111"/>
      <c r="AT38" s="355"/>
      <c r="AX38" s="326"/>
      <c r="AY38" s="326">
        <f t="shared" si="4"/>
        <v>0</v>
      </c>
      <c r="AZ38" s="326">
        <f t="shared" si="5"/>
        <v>0</v>
      </c>
      <c r="BA38" s="326">
        <f t="shared" si="6"/>
        <v>0</v>
      </c>
      <c r="BB38" s="573" t="str">
        <f t="shared" si="7"/>
        <v>-</v>
      </c>
    </row>
    <row r="39" spans="2:54" ht="21" customHeight="1">
      <c r="B39" s="517"/>
      <c r="C39" s="518"/>
      <c r="D39" s="518"/>
      <c r="E39" s="519"/>
      <c r="F39" s="1226" t="s">
        <v>224</v>
      </c>
      <c r="G39" s="1182"/>
      <c r="H39" s="1182"/>
      <c r="I39" s="1182"/>
      <c r="J39" s="1182"/>
      <c r="K39" s="1227" t="s">
        <v>150</v>
      </c>
      <c r="L39" s="1228"/>
      <c r="M39" s="1229"/>
      <c r="N39" s="1103">
        <f t="shared" si="8"/>
        <v>0</v>
      </c>
      <c r="O39" s="1103"/>
      <c r="P39" s="1103"/>
      <c r="Q39" s="1103"/>
      <c r="R39" s="1103"/>
      <c r="S39" s="1104"/>
      <c r="X39" s="1179" t="s">
        <v>224</v>
      </c>
      <c r="Y39" s="1180"/>
      <c r="Z39" s="1180"/>
      <c r="AA39" s="1180"/>
      <c r="AB39" s="1180"/>
      <c r="AC39" s="1103">
        <f>'&lt;参考&gt;●現在の業務の総コスト'!Z11</f>
        <v>0</v>
      </c>
      <c r="AD39" s="1103"/>
      <c r="AE39" s="1103"/>
      <c r="AF39" s="1103"/>
      <c r="AG39" s="1103"/>
      <c r="AH39" s="1104"/>
      <c r="AK39" s="1114">
        <f t="shared" si="10"/>
        <v>0</v>
      </c>
      <c r="AL39" s="1103"/>
      <c r="AM39" s="1103"/>
      <c r="AN39" s="1103"/>
      <c r="AO39" s="1103"/>
      <c r="AP39" s="1115"/>
      <c r="AQ39" s="1188">
        <f t="shared" si="9"/>
        <v>0</v>
      </c>
      <c r="AR39" s="1189"/>
      <c r="AS39" s="1190"/>
      <c r="AT39" s="354"/>
      <c r="AX39" s="326"/>
      <c r="AY39" s="326">
        <f t="shared" si="4"/>
        <v>0</v>
      </c>
      <c r="AZ39" s="326">
        <f t="shared" si="5"/>
        <v>0</v>
      </c>
      <c r="BA39" s="326">
        <f t="shared" si="6"/>
        <v>0</v>
      </c>
      <c r="BB39" s="573" t="str">
        <f t="shared" si="7"/>
        <v>-</v>
      </c>
    </row>
    <row r="40" spans="2:54" ht="18" customHeight="1" thickBot="1">
      <c r="B40" s="517"/>
      <c r="C40" s="518"/>
      <c r="D40" s="518"/>
      <c r="E40" s="519"/>
      <c r="F40" s="1214"/>
      <c r="G40" s="700"/>
      <c r="H40" s="700"/>
      <c r="I40" s="700"/>
      <c r="J40" s="700"/>
      <c r="K40" s="1218" t="s">
        <v>154</v>
      </c>
      <c r="L40" s="1219"/>
      <c r="M40" s="1220"/>
      <c r="N40" s="1095">
        <f t="shared" si="8"/>
        <v>0</v>
      </c>
      <c r="O40" s="1095"/>
      <c r="P40" s="1095"/>
      <c r="Q40" s="1095"/>
      <c r="R40" s="1095"/>
      <c r="S40" s="1105"/>
      <c r="X40" s="1177"/>
      <c r="Y40" s="1178"/>
      <c r="Z40" s="1178"/>
      <c r="AA40" s="1178"/>
      <c r="AB40" s="1178"/>
      <c r="AC40" s="1095">
        <f>'&lt;参考&gt;●現在の業務の総コスト'!AH11</f>
        <v>0</v>
      </c>
      <c r="AD40" s="1095"/>
      <c r="AE40" s="1095"/>
      <c r="AF40" s="1095"/>
      <c r="AG40" s="1095"/>
      <c r="AH40" s="1105"/>
      <c r="AK40" s="1094">
        <f t="shared" si="10"/>
        <v>0</v>
      </c>
      <c r="AL40" s="1095"/>
      <c r="AM40" s="1095"/>
      <c r="AN40" s="1095"/>
      <c r="AO40" s="1095"/>
      <c r="AP40" s="1096"/>
      <c r="AQ40" s="1185">
        <f t="shared" si="9"/>
        <v>0</v>
      </c>
      <c r="AR40" s="1186"/>
      <c r="AS40" s="1187"/>
      <c r="AT40" s="355"/>
      <c r="AX40" s="326"/>
      <c r="AY40" s="326">
        <f t="shared" si="4"/>
        <v>0</v>
      </c>
      <c r="AZ40" s="326">
        <f t="shared" si="5"/>
        <v>0</v>
      </c>
      <c r="BA40" s="326">
        <f t="shared" si="6"/>
        <v>0</v>
      </c>
      <c r="BB40" s="573" t="str">
        <f t="shared" si="7"/>
        <v>-</v>
      </c>
    </row>
    <row r="41" spans="2:54" ht="21" customHeight="1">
      <c r="B41" s="514"/>
      <c r="C41" s="515"/>
      <c r="D41" s="515"/>
      <c r="E41" s="516"/>
      <c r="F41" s="1213" t="s">
        <v>157</v>
      </c>
      <c r="G41" s="698"/>
      <c r="H41" s="698"/>
      <c r="I41" s="698"/>
      <c r="J41" s="698"/>
      <c r="K41" s="1215" t="s">
        <v>150</v>
      </c>
      <c r="L41" s="1216"/>
      <c r="M41" s="1217"/>
      <c r="N41" s="1098">
        <f t="shared" si="8"/>
        <v>60</v>
      </c>
      <c r="O41" s="1098"/>
      <c r="P41" s="1098"/>
      <c r="Q41" s="1098"/>
      <c r="R41" s="1098"/>
      <c r="S41" s="1100"/>
      <c r="X41" s="1175" t="s">
        <v>157</v>
      </c>
      <c r="Y41" s="1176"/>
      <c r="Z41" s="1176"/>
      <c r="AA41" s="1176"/>
      <c r="AB41" s="1176"/>
      <c r="AC41" s="1098">
        <f>'&lt;参考&gt;●現在の業務の総コスト'!Z12</f>
        <v>45</v>
      </c>
      <c r="AD41" s="1098"/>
      <c r="AE41" s="1098"/>
      <c r="AF41" s="1098"/>
      <c r="AG41" s="1098"/>
      <c r="AH41" s="1100"/>
      <c r="AK41" s="1097">
        <f t="shared" si="10"/>
        <v>-15</v>
      </c>
      <c r="AL41" s="1098"/>
      <c r="AM41" s="1098"/>
      <c r="AN41" s="1098"/>
      <c r="AO41" s="1098"/>
      <c r="AP41" s="1099"/>
      <c r="AQ41" s="1106">
        <f t="shared" si="9"/>
        <v>0.25</v>
      </c>
      <c r="AR41" s="1107"/>
      <c r="AS41" s="1108"/>
      <c r="AT41" s="354"/>
      <c r="AX41" s="326"/>
      <c r="AY41" s="326">
        <f t="shared" si="4"/>
        <v>0</v>
      </c>
      <c r="AZ41" s="326">
        <f t="shared" si="5"/>
        <v>0</v>
      </c>
      <c r="BA41" s="326">
        <f t="shared" si="6"/>
        <v>0</v>
      </c>
      <c r="BB41" s="573" t="str">
        <f t="shared" si="7"/>
        <v>-</v>
      </c>
    </row>
    <row r="42" spans="2:54" ht="18" customHeight="1">
      <c r="B42" s="517"/>
      <c r="C42" s="518"/>
      <c r="D42" s="518"/>
      <c r="E42" s="519"/>
      <c r="F42" s="1221"/>
      <c r="G42" s="1222"/>
      <c r="H42" s="1222"/>
      <c r="I42" s="1222"/>
      <c r="J42" s="1222"/>
      <c r="K42" s="1223" t="s">
        <v>154</v>
      </c>
      <c r="L42" s="1224"/>
      <c r="M42" s="1225"/>
      <c r="N42" s="1101">
        <f t="shared" si="8"/>
        <v>120.6</v>
      </c>
      <c r="O42" s="1101"/>
      <c r="P42" s="1101"/>
      <c r="Q42" s="1101"/>
      <c r="R42" s="1101"/>
      <c r="S42" s="1102"/>
      <c r="X42" s="1179"/>
      <c r="Y42" s="1180"/>
      <c r="Z42" s="1180"/>
      <c r="AA42" s="1180"/>
      <c r="AB42" s="1180"/>
      <c r="AC42" s="1101">
        <f>'&lt;参考&gt;●現在の業務の総コスト'!AH12</f>
        <v>0</v>
      </c>
      <c r="AD42" s="1101"/>
      <c r="AE42" s="1101"/>
      <c r="AF42" s="1101"/>
      <c r="AG42" s="1101"/>
      <c r="AH42" s="1102"/>
      <c r="AK42" s="1112">
        <f t="shared" si="10"/>
        <v>-120.6</v>
      </c>
      <c r="AL42" s="1101"/>
      <c r="AM42" s="1101"/>
      <c r="AN42" s="1101"/>
      <c r="AO42" s="1101"/>
      <c r="AP42" s="1113"/>
      <c r="AQ42" s="1109">
        <f t="shared" si="9"/>
        <v>1</v>
      </c>
      <c r="AR42" s="1110"/>
      <c r="AS42" s="1111"/>
      <c r="AT42" s="355"/>
      <c r="AX42" s="326"/>
      <c r="AY42" s="326">
        <f t="shared" si="4"/>
        <v>0</v>
      </c>
      <c r="AZ42" s="326">
        <f t="shared" si="5"/>
        <v>0</v>
      </c>
      <c r="BA42" s="326">
        <f t="shared" si="6"/>
        <v>0</v>
      </c>
      <c r="BB42" s="573" t="str">
        <f t="shared" si="7"/>
        <v>-</v>
      </c>
    </row>
    <row r="43" spans="2:54" ht="21" customHeight="1">
      <c r="B43" s="517"/>
      <c r="C43" s="518"/>
      <c r="D43" s="518"/>
      <c r="E43" s="519"/>
      <c r="F43" s="1226" t="s">
        <v>158</v>
      </c>
      <c r="G43" s="1182"/>
      <c r="H43" s="1182"/>
      <c r="I43" s="1182"/>
      <c r="J43" s="1182"/>
      <c r="K43" s="1227" t="s">
        <v>150</v>
      </c>
      <c r="L43" s="1228"/>
      <c r="M43" s="1229"/>
      <c r="N43" s="1103">
        <f t="shared" si="8"/>
        <v>3</v>
      </c>
      <c r="O43" s="1103"/>
      <c r="P43" s="1103"/>
      <c r="Q43" s="1103"/>
      <c r="R43" s="1103"/>
      <c r="S43" s="1104"/>
      <c r="X43" s="1181" t="s">
        <v>158</v>
      </c>
      <c r="Y43" s="1182"/>
      <c r="Z43" s="1182"/>
      <c r="AA43" s="1182"/>
      <c r="AB43" s="1183"/>
      <c r="AC43" s="1103">
        <f>'&lt;参考&gt;●現在の業務の総コスト'!Z13</f>
        <v>3</v>
      </c>
      <c r="AD43" s="1103"/>
      <c r="AE43" s="1103"/>
      <c r="AF43" s="1103"/>
      <c r="AG43" s="1103"/>
      <c r="AH43" s="1104"/>
      <c r="AK43" s="1114">
        <f t="shared" si="10"/>
        <v>0</v>
      </c>
      <c r="AL43" s="1103"/>
      <c r="AM43" s="1103"/>
      <c r="AN43" s="1103"/>
      <c r="AO43" s="1103"/>
      <c r="AP43" s="1115"/>
      <c r="AQ43" s="1188">
        <f t="shared" si="9"/>
        <v>0</v>
      </c>
      <c r="AR43" s="1189"/>
      <c r="AS43" s="1190"/>
      <c r="AT43" s="354"/>
      <c r="AX43" s="326"/>
      <c r="AY43" s="326">
        <f t="shared" si="4"/>
        <v>0</v>
      </c>
      <c r="AZ43" s="326">
        <f t="shared" si="5"/>
        <v>0</v>
      </c>
      <c r="BA43" s="326">
        <f t="shared" si="6"/>
        <v>0</v>
      </c>
      <c r="BB43" s="573" t="str">
        <f t="shared" si="7"/>
        <v>-</v>
      </c>
    </row>
    <row r="44" spans="2:54" ht="18" customHeight="1" thickBot="1">
      <c r="B44" s="520"/>
      <c r="C44" s="521"/>
      <c r="D44" s="521"/>
      <c r="E44" s="522"/>
      <c r="F44" s="1214"/>
      <c r="G44" s="700"/>
      <c r="H44" s="700"/>
      <c r="I44" s="700"/>
      <c r="J44" s="700"/>
      <c r="K44" s="1218" t="s">
        <v>154</v>
      </c>
      <c r="L44" s="1219"/>
      <c r="M44" s="1220"/>
      <c r="N44" s="1095">
        <f t="shared" si="8"/>
        <v>7.8000000000000007</v>
      </c>
      <c r="O44" s="1095"/>
      <c r="P44" s="1095"/>
      <c r="Q44" s="1095"/>
      <c r="R44" s="1095"/>
      <c r="S44" s="1105"/>
      <c r="X44" s="699"/>
      <c r="Y44" s="700"/>
      <c r="Z44" s="700"/>
      <c r="AA44" s="700"/>
      <c r="AB44" s="1184"/>
      <c r="AC44" s="1095">
        <f>'&lt;参考&gt;●現在の業務の総コスト'!AH13</f>
        <v>0</v>
      </c>
      <c r="AD44" s="1095"/>
      <c r="AE44" s="1095"/>
      <c r="AF44" s="1095"/>
      <c r="AG44" s="1095"/>
      <c r="AH44" s="1105"/>
      <c r="AK44" s="1094">
        <f t="shared" si="10"/>
        <v>-7.8000000000000007</v>
      </c>
      <c r="AL44" s="1095"/>
      <c r="AM44" s="1095"/>
      <c r="AN44" s="1095"/>
      <c r="AO44" s="1095"/>
      <c r="AP44" s="1096"/>
      <c r="AQ44" s="1185">
        <f t="shared" si="9"/>
        <v>1</v>
      </c>
      <c r="AR44" s="1186"/>
      <c r="AS44" s="1187"/>
      <c r="AT44" s="355"/>
      <c r="AX44" s="326"/>
      <c r="AY44" s="326">
        <f t="shared" si="4"/>
        <v>0</v>
      </c>
      <c r="AZ44" s="326">
        <f t="shared" si="5"/>
        <v>0</v>
      </c>
      <c r="BA44" s="326">
        <f t="shared" si="6"/>
        <v>0</v>
      </c>
      <c r="BB44" s="573" t="str">
        <f t="shared" si="7"/>
        <v>-</v>
      </c>
    </row>
    <row r="45" spans="2:54" ht="21" customHeight="1">
      <c r="B45" s="514"/>
      <c r="C45" s="523"/>
      <c r="D45" s="523"/>
      <c r="E45" s="524"/>
      <c r="F45" s="1213" t="s">
        <v>159</v>
      </c>
      <c r="G45" s="698"/>
      <c r="H45" s="698"/>
      <c r="I45" s="698"/>
      <c r="J45" s="698"/>
      <c r="K45" s="1215" t="s">
        <v>150</v>
      </c>
      <c r="L45" s="1216"/>
      <c r="M45" s="1217"/>
      <c r="N45" s="1098">
        <f t="shared" si="8"/>
        <v>0</v>
      </c>
      <c r="O45" s="1098"/>
      <c r="P45" s="1098"/>
      <c r="Q45" s="1098"/>
      <c r="R45" s="1098"/>
      <c r="S45" s="1100"/>
      <c r="X45" s="1175" t="s">
        <v>159</v>
      </c>
      <c r="Y45" s="1176"/>
      <c r="Z45" s="1176"/>
      <c r="AA45" s="1176"/>
      <c r="AB45" s="1176"/>
      <c r="AC45" s="1098">
        <f>'&lt;参考&gt;●現在の業務の総コスト'!Z14</f>
        <v>0</v>
      </c>
      <c r="AD45" s="1098"/>
      <c r="AE45" s="1098"/>
      <c r="AF45" s="1098"/>
      <c r="AG45" s="1098"/>
      <c r="AH45" s="1100"/>
      <c r="AK45" s="1097">
        <f t="shared" si="10"/>
        <v>0</v>
      </c>
      <c r="AL45" s="1098"/>
      <c r="AM45" s="1098"/>
      <c r="AN45" s="1098"/>
      <c r="AO45" s="1098"/>
      <c r="AP45" s="1099"/>
      <c r="AQ45" s="1106">
        <f t="shared" si="9"/>
        <v>0</v>
      </c>
      <c r="AR45" s="1107"/>
      <c r="AS45" s="1108"/>
      <c r="AT45" s="354"/>
      <c r="AX45" s="326"/>
      <c r="AY45" s="326">
        <f t="shared" si="4"/>
        <v>0</v>
      </c>
      <c r="AZ45" s="326">
        <f t="shared" si="5"/>
        <v>0</v>
      </c>
      <c r="BA45" s="326">
        <f t="shared" si="6"/>
        <v>0</v>
      </c>
      <c r="BB45" s="573" t="str">
        <f t="shared" si="7"/>
        <v>-</v>
      </c>
    </row>
    <row r="46" spans="2:54" ht="18" customHeight="1" thickBot="1">
      <c r="B46" s="525"/>
      <c r="C46" s="526"/>
      <c r="D46" s="526"/>
      <c r="E46" s="527"/>
      <c r="F46" s="1214"/>
      <c r="G46" s="700"/>
      <c r="H46" s="700"/>
      <c r="I46" s="700"/>
      <c r="J46" s="700"/>
      <c r="K46" s="1218" t="s">
        <v>154</v>
      </c>
      <c r="L46" s="1219"/>
      <c r="M46" s="1220"/>
      <c r="N46" s="1095">
        <f t="shared" si="8"/>
        <v>0</v>
      </c>
      <c r="O46" s="1095"/>
      <c r="P46" s="1095"/>
      <c r="Q46" s="1095"/>
      <c r="R46" s="1095"/>
      <c r="S46" s="1105"/>
      <c r="X46" s="1177"/>
      <c r="Y46" s="1178"/>
      <c r="Z46" s="1178"/>
      <c r="AA46" s="1178"/>
      <c r="AB46" s="1178"/>
      <c r="AC46" s="1095">
        <f>'&lt;参考&gt;●現在の業務の総コスト'!AH14</f>
        <v>0</v>
      </c>
      <c r="AD46" s="1095"/>
      <c r="AE46" s="1095"/>
      <c r="AF46" s="1095"/>
      <c r="AG46" s="1095"/>
      <c r="AH46" s="1105"/>
      <c r="AK46" s="1094">
        <f t="shared" si="10"/>
        <v>0</v>
      </c>
      <c r="AL46" s="1095"/>
      <c r="AM46" s="1095"/>
      <c r="AN46" s="1095"/>
      <c r="AO46" s="1095"/>
      <c r="AP46" s="1096"/>
      <c r="AQ46" s="1185">
        <f t="shared" si="9"/>
        <v>0</v>
      </c>
      <c r="AR46" s="1186"/>
      <c r="AS46" s="1187"/>
      <c r="AT46" s="355"/>
      <c r="AX46" s="326"/>
      <c r="AY46" s="326">
        <f t="shared" si="4"/>
        <v>0</v>
      </c>
      <c r="AZ46" s="326">
        <f t="shared" si="5"/>
        <v>0</v>
      </c>
      <c r="BA46" s="326">
        <f t="shared" si="6"/>
        <v>0</v>
      </c>
      <c r="BB46" s="573" t="str">
        <f t="shared" si="7"/>
        <v>-</v>
      </c>
    </row>
    <row r="47" spans="2:54" ht="21" customHeight="1">
      <c r="B47" s="528"/>
      <c r="C47" s="523"/>
      <c r="D47" s="523"/>
      <c r="E47" s="524"/>
      <c r="F47" s="1213" t="s">
        <v>160</v>
      </c>
      <c r="G47" s="698"/>
      <c r="H47" s="698"/>
      <c r="I47" s="698"/>
      <c r="J47" s="698"/>
      <c r="K47" s="1215" t="s">
        <v>150</v>
      </c>
      <c r="L47" s="1216"/>
      <c r="M47" s="1217"/>
      <c r="N47" s="1098">
        <f t="shared" si="8"/>
        <v>0</v>
      </c>
      <c r="O47" s="1098"/>
      <c r="P47" s="1098"/>
      <c r="Q47" s="1098"/>
      <c r="R47" s="1098"/>
      <c r="S47" s="1100"/>
      <c r="X47" s="1175" t="s">
        <v>160</v>
      </c>
      <c r="Y47" s="1176"/>
      <c r="Z47" s="1176"/>
      <c r="AA47" s="1176"/>
      <c r="AB47" s="1176"/>
      <c r="AC47" s="1098">
        <f>'&lt;参考&gt;●現在の業務の総コスト'!Z15</f>
        <v>0</v>
      </c>
      <c r="AD47" s="1098"/>
      <c r="AE47" s="1098"/>
      <c r="AF47" s="1098"/>
      <c r="AG47" s="1098"/>
      <c r="AH47" s="1100"/>
      <c r="AK47" s="1097">
        <f t="shared" si="10"/>
        <v>0</v>
      </c>
      <c r="AL47" s="1098"/>
      <c r="AM47" s="1098"/>
      <c r="AN47" s="1098"/>
      <c r="AO47" s="1098"/>
      <c r="AP47" s="1099"/>
      <c r="AQ47" s="1106">
        <f t="shared" si="9"/>
        <v>0</v>
      </c>
      <c r="AR47" s="1107"/>
      <c r="AS47" s="1108"/>
      <c r="AT47" s="354"/>
      <c r="AX47" s="326"/>
      <c r="AY47" s="326">
        <f t="shared" si="4"/>
        <v>0</v>
      </c>
      <c r="AZ47" s="326">
        <f t="shared" si="5"/>
        <v>0</v>
      </c>
      <c r="BA47" s="326">
        <f t="shared" si="6"/>
        <v>0</v>
      </c>
      <c r="BB47" s="573" t="str">
        <f t="shared" si="7"/>
        <v>-</v>
      </c>
    </row>
    <row r="48" spans="2:54" ht="18" customHeight="1" thickBot="1">
      <c r="B48" s="525"/>
      <c r="C48" s="526"/>
      <c r="D48" s="526"/>
      <c r="E48" s="527"/>
      <c r="F48" s="1214"/>
      <c r="G48" s="700"/>
      <c r="H48" s="700"/>
      <c r="I48" s="700"/>
      <c r="J48" s="700"/>
      <c r="K48" s="1218" t="s">
        <v>154</v>
      </c>
      <c r="L48" s="1219"/>
      <c r="M48" s="1220"/>
      <c r="N48" s="1095">
        <f t="shared" si="8"/>
        <v>0</v>
      </c>
      <c r="O48" s="1095"/>
      <c r="P48" s="1095"/>
      <c r="Q48" s="1095"/>
      <c r="R48" s="1095"/>
      <c r="S48" s="1105"/>
      <c r="X48" s="1177"/>
      <c r="Y48" s="1178"/>
      <c r="Z48" s="1178"/>
      <c r="AA48" s="1178"/>
      <c r="AB48" s="1178"/>
      <c r="AC48" s="1095">
        <f>'&lt;参考&gt;●現在の業務の総コスト'!AH15</f>
        <v>0</v>
      </c>
      <c r="AD48" s="1095"/>
      <c r="AE48" s="1095"/>
      <c r="AF48" s="1095"/>
      <c r="AG48" s="1095"/>
      <c r="AH48" s="1105"/>
      <c r="AK48" s="1094">
        <f t="shared" si="10"/>
        <v>0</v>
      </c>
      <c r="AL48" s="1095"/>
      <c r="AM48" s="1095"/>
      <c r="AN48" s="1095"/>
      <c r="AO48" s="1095"/>
      <c r="AP48" s="1096"/>
      <c r="AQ48" s="1185">
        <f t="shared" si="9"/>
        <v>0</v>
      </c>
      <c r="AR48" s="1186"/>
      <c r="AS48" s="1187"/>
      <c r="AT48" s="355"/>
      <c r="AX48" s="326"/>
      <c r="AY48" s="326">
        <f t="shared" si="4"/>
        <v>0</v>
      </c>
      <c r="AZ48" s="326">
        <f t="shared" si="5"/>
        <v>0</v>
      </c>
      <c r="BA48" s="326">
        <f t="shared" si="6"/>
        <v>0</v>
      </c>
      <c r="BB48" s="573" t="str">
        <f t="shared" si="7"/>
        <v>-</v>
      </c>
    </row>
    <row r="52" spans="10:28">
      <c r="J52" s="124"/>
      <c r="K52" t="s">
        <v>359</v>
      </c>
      <c r="L52" t="s">
        <v>360</v>
      </c>
      <c r="M52" t="s">
        <v>361</v>
      </c>
      <c r="N52" t="s">
        <v>362</v>
      </c>
      <c r="U52" s="124"/>
      <c r="V52" t="s">
        <v>722</v>
      </c>
      <c r="W52" t="s">
        <v>721</v>
      </c>
      <c r="X52" t="s">
        <v>718</v>
      </c>
      <c r="Y52" t="s">
        <v>723</v>
      </c>
      <c r="Z52" t="s">
        <v>704</v>
      </c>
      <c r="AA52" t="s">
        <v>172</v>
      </c>
    </row>
    <row r="53" spans="10:28">
      <c r="J53" s="124"/>
      <c r="K53" s="356"/>
      <c r="L53" s="356"/>
      <c r="M53" s="356"/>
      <c r="N53" s="356"/>
    </row>
    <row r="54" spans="10:28">
      <c r="J54" s="124" t="s">
        <v>123</v>
      </c>
      <c r="K54" s="124"/>
      <c r="L54" s="124"/>
      <c r="M54" s="357">
        <f>AC47*83</f>
        <v>0</v>
      </c>
      <c r="N54" s="126">
        <f>M46</f>
        <v>0</v>
      </c>
      <c r="U54" s="124" t="s">
        <v>123</v>
      </c>
      <c r="V54">
        <f>(●計算表!P327+●計算表!P328)*基礎情報!$Q$4</f>
        <v>0</v>
      </c>
      <c r="W54">
        <f>●計算表!P329*基礎情報!$Q$4</f>
        <v>0</v>
      </c>
      <c r="X54">
        <f>(●計算表!P330+●計算表!P331)*基礎情報!$Q$4</f>
        <v>0</v>
      </c>
      <c r="Y54">
        <f>●計算表!P332*基礎情報!$Q$4</f>
        <v>0</v>
      </c>
      <c r="Z54">
        <f>●計算表!P333*基礎情報!$Q$4</f>
        <v>0</v>
      </c>
      <c r="AA54" s="324">
        <f>●計算表!P348</f>
        <v>0</v>
      </c>
      <c r="AB54" s="377"/>
    </row>
    <row r="55" spans="10:28">
      <c r="J55" s="124" t="s">
        <v>124</v>
      </c>
      <c r="K55" s="357">
        <f>N47*83</f>
        <v>0</v>
      </c>
      <c r="L55" s="357">
        <f>N48</f>
        <v>0</v>
      </c>
      <c r="M55" s="124"/>
      <c r="N55" s="126"/>
      <c r="U55" s="124" t="s">
        <v>124</v>
      </c>
      <c r="V55">
        <f>(SUMPRODUCT(●計算表!$D$324:$F$324,●計算表!$D$327:$F$327)+SUMPRODUCT(●計算表!$D$324:$F$324,●計算表!$D$328:$F$328))*基礎情報!$Q$4</f>
        <v>0</v>
      </c>
      <c r="W55">
        <f>●計算表!D329*基礎情報!$Q$4</f>
        <v>0</v>
      </c>
      <c r="X55">
        <f>(SUMPRODUCT(●計算表!$D$324:$F$324,●計算表!$D$330:$F$330)+SUMPRODUCT(●計算表!$D$324:$F$324,●計算表!$D$331:$F$331))*基礎情報!$Q$4</f>
        <v>0</v>
      </c>
      <c r="Y55">
        <f>SUMPRODUCT(●計算表!$D$324:$F$324,●計算表!$D$332:$F$332)*基礎情報!$Q$4</f>
        <v>0</v>
      </c>
      <c r="Z55">
        <f>SUMPRODUCT(●計算表!$D$324:$F$324,●計算表!$D$333:$F$333)*基礎情報!$Q$4</f>
        <v>0</v>
      </c>
      <c r="AA55" s="324">
        <f>●計算表!D348</f>
        <v>0</v>
      </c>
    </row>
    <row r="56" spans="10:28">
      <c r="J56" s="356"/>
      <c r="K56" s="357"/>
      <c r="L56" s="357"/>
      <c r="M56" s="126"/>
      <c r="N56" s="124"/>
      <c r="U56" s="356"/>
    </row>
    <row r="57" spans="10:28">
      <c r="J57" s="356" t="s">
        <v>123</v>
      </c>
      <c r="K57" s="357"/>
      <c r="L57" s="357"/>
      <c r="M57" s="357">
        <f>AC45*83</f>
        <v>0</v>
      </c>
      <c r="N57" s="126">
        <f>M44</f>
        <v>0</v>
      </c>
      <c r="U57" s="356" t="s">
        <v>123</v>
      </c>
      <c r="V57">
        <v>0</v>
      </c>
      <c r="W57">
        <f>SUM(●計算表!P272:P274)*基礎情報!$Q$4</f>
        <v>0</v>
      </c>
      <c r="X57">
        <f>●計算表!P275*基礎情報!$Q$4</f>
        <v>0</v>
      </c>
      <c r="Y57">
        <v>0</v>
      </c>
      <c r="Z57">
        <f>●計算表!P276*基礎情報!$Q$4</f>
        <v>0</v>
      </c>
      <c r="AA57" s="324">
        <f>●計算表!P291</f>
        <v>0</v>
      </c>
    </row>
    <row r="58" spans="10:28">
      <c r="J58" s="124" t="s">
        <v>125</v>
      </c>
      <c r="K58" s="357">
        <f>N45*83</f>
        <v>0</v>
      </c>
      <c r="L58" s="357">
        <f>N46</f>
        <v>0</v>
      </c>
      <c r="M58" s="124"/>
      <c r="N58" s="126"/>
      <c r="U58" s="124" t="s">
        <v>125</v>
      </c>
      <c r="V58">
        <v>0</v>
      </c>
      <c r="W58">
        <f>SUM(●計算表!D272:D274)*基礎情報!$Q$4</f>
        <v>0</v>
      </c>
      <c r="X58">
        <f>●計算表!D275*基礎情報!$Q$4</f>
        <v>0</v>
      </c>
      <c r="Y58">
        <v>0</v>
      </c>
      <c r="Z58">
        <f>●計算表!D276*基礎情報!$Q$4</f>
        <v>0</v>
      </c>
      <c r="AA58" s="324">
        <f>●計算表!D291</f>
        <v>0</v>
      </c>
    </row>
    <row r="59" spans="10:28">
      <c r="J59" s="356"/>
      <c r="K59" s="357"/>
      <c r="L59" s="357"/>
      <c r="M59" s="126"/>
      <c r="N59" s="124"/>
      <c r="U59" s="356"/>
    </row>
    <row r="60" spans="10:28">
      <c r="J60" s="356" t="s">
        <v>123</v>
      </c>
      <c r="K60" s="357"/>
      <c r="L60" s="357"/>
      <c r="M60" s="357">
        <f>AC43*83</f>
        <v>249</v>
      </c>
      <c r="N60" s="126">
        <f>M42</f>
        <v>0</v>
      </c>
      <c r="U60" s="356" t="s">
        <v>123</v>
      </c>
      <c r="V60">
        <f>(●計算表!P211+●計算表!P212)*基礎情報!$Q$4</f>
        <v>0</v>
      </c>
      <c r="W60">
        <f>●計算表!P213*基礎情報!$Q$4</f>
        <v>150</v>
      </c>
      <c r="X60">
        <v>0</v>
      </c>
      <c r="Y60">
        <f>(●計算表!P214+●計算表!P215)*基礎情報!$Q$4</f>
        <v>0</v>
      </c>
      <c r="Z60">
        <f>(●計算表!P216+●計算表!P217)*基礎情報!$Q$4</f>
        <v>0</v>
      </c>
      <c r="AA60" s="324">
        <f>●計算表!P235</f>
        <v>0</v>
      </c>
    </row>
    <row r="61" spans="10:28">
      <c r="J61" s="124" t="s">
        <v>126</v>
      </c>
      <c r="K61" s="357">
        <f>N43*83</f>
        <v>249</v>
      </c>
      <c r="L61" s="357">
        <f>N44</f>
        <v>7.8000000000000007</v>
      </c>
      <c r="M61" s="124"/>
      <c r="N61" s="126"/>
      <c r="U61" s="356" t="s">
        <v>705</v>
      </c>
      <c r="V61">
        <f>(SUMPRODUCT(●計算表!$D$208:$F$208,●計算表!$D$211:$F$211)+SUMPRODUCT(●計算表!$D$208:$F$208,●計算表!$D$212:$F$212))*基礎情報!$Q$4</f>
        <v>0</v>
      </c>
      <c r="W61">
        <f>●計算表!D213*基礎情報!$Q$4</f>
        <v>150</v>
      </c>
      <c r="X61">
        <v>0</v>
      </c>
      <c r="Y61">
        <f>(SUMPRODUCT(●計算表!$D$208:$F$208,●計算表!$D$214:$F$214)+SUMPRODUCT(●計算表!$D$208:$F$208,●計算表!$D$215:$F$215))*基礎情報!$Q$4</f>
        <v>0</v>
      </c>
      <c r="Z61">
        <f>(SUMPRODUCT(●計算表!$D$208:$F$208,●計算表!$D$216:$F$216)+SUMPRODUCT(●計算表!$D$208:$F$208,●計算表!$D$217:$F$217))*基礎情報!$Q$4</f>
        <v>0</v>
      </c>
      <c r="AA61" s="324">
        <f>●計算表!D235</f>
        <v>7.8000000000000007</v>
      </c>
    </row>
    <row r="62" spans="10:28">
      <c r="J62" s="356"/>
      <c r="K62" s="358"/>
      <c r="L62" s="357"/>
      <c r="M62" s="126"/>
      <c r="N62" s="124"/>
    </row>
    <row r="63" spans="10:28">
      <c r="J63" s="356" t="s">
        <v>123</v>
      </c>
      <c r="K63" s="357"/>
      <c r="L63" s="357"/>
      <c r="M63" s="357">
        <f>AC41*83</f>
        <v>3735</v>
      </c>
      <c r="N63" s="126">
        <f>M40</f>
        <v>0</v>
      </c>
      <c r="U63" s="356" t="s">
        <v>123</v>
      </c>
      <c r="V63">
        <f>●計算表!P151*基礎情報!$Q$4</f>
        <v>1500</v>
      </c>
      <c r="W63">
        <f>●計算表!P153*基礎情報!$Q$4</f>
        <v>750</v>
      </c>
      <c r="X63">
        <f>(●計算表!P152+●計算表!P154+●計算表!P155)*基礎情報!$Q$4</f>
        <v>0</v>
      </c>
      <c r="Y63">
        <f>(●計算表!P156+●計算表!P157)*基礎情報!$Q$4</f>
        <v>0</v>
      </c>
      <c r="Z63">
        <v>0</v>
      </c>
      <c r="AA63" s="324">
        <f>●計算表!P175</f>
        <v>0</v>
      </c>
    </row>
    <row r="64" spans="10:28">
      <c r="J64" s="124" t="s">
        <v>127</v>
      </c>
      <c r="K64" s="357">
        <f>N41*83</f>
        <v>4980</v>
      </c>
      <c r="L64" s="357">
        <f>N42</f>
        <v>120.6</v>
      </c>
      <c r="M64" s="124"/>
      <c r="N64" s="126"/>
      <c r="U64" s="356" t="s">
        <v>706</v>
      </c>
      <c r="V64">
        <f>●計算表!D151*基礎情報!$Q$4</f>
        <v>1500</v>
      </c>
      <c r="W64">
        <f>●計算表!D153*基礎情報!$Q$4</f>
        <v>1500</v>
      </c>
      <c r="X64">
        <f>(SUMPRODUCT(●計算表!$D$148:$G$148,●計算表!$D$152:$G$152)+SUMPRODUCT(●計算表!$D$148:$G$148,●計算表!$D$154:$G$154)+SUMPRODUCT(●計算表!$D$148:$G$148,●計算表!$D$155:$G$155))*基礎情報!$Q$4</f>
        <v>0</v>
      </c>
      <c r="Y64">
        <f>(SUMPRODUCT(●計算表!$D$148:$G$148,●計算表!$D$156:$G$156)+SUMPRODUCT(●計算表!$D$148:$G$148,●計算表!$D$157:$G$157))*基礎情報!$Q$4</f>
        <v>0</v>
      </c>
      <c r="Z64">
        <v>0</v>
      </c>
      <c r="AA64" s="324">
        <f>●計算表!D175</f>
        <v>120.6</v>
      </c>
    </row>
    <row r="65" spans="10:64">
      <c r="J65" s="356"/>
      <c r="K65" s="357"/>
      <c r="L65" s="357"/>
      <c r="M65" s="126"/>
      <c r="N65" s="124"/>
    </row>
    <row r="66" spans="10:64">
      <c r="J66" s="356" t="s">
        <v>123</v>
      </c>
      <c r="K66" s="357"/>
      <c r="L66" s="357"/>
      <c r="M66" s="357">
        <f>AC39*83</f>
        <v>0</v>
      </c>
      <c r="N66" s="126">
        <f>M38</f>
        <v>0</v>
      </c>
      <c r="U66" t="s">
        <v>182</v>
      </c>
      <c r="V66">
        <f>SUM(●計算表!P85,●計算表!P86)*基礎情報!$Q$4</f>
        <v>0</v>
      </c>
      <c r="W66">
        <f>(●計算表!P96+●計算表!P97)*基礎情報!$Q$4</f>
        <v>0</v>
      </c>
      <c r="X66">
        <v>0</v>
      </c>
      <c r="Y66">
        <v>0</v>
      </c>
      <c r="Z66">
        <f>●計算表!P98*基礎情報!$Q$4</f>
        <v>0</v>
      </c>
      <c r="AA66" s="324">
        <f>●計算表!P114</f>
        <v>0</v>
      </c>
    </row>
    <row r="67" spans="10:64">
      <c r="J67" s="124" t="s">
        <v>128</v>
      </c>
      <c r="K67" s="357">
        <f>N39*83</f>
        <v>0</v>
      </c>
      <c r="L67" s="357">
        <f>N40</f>
        <v>0</v>
      </c>
      <c r="M67" s="124"/>
      <c r="N67" s="126"/>
      <c r="U67" s="124" t="s">
        <v>128</v>
      </c>
      <c r="V67">
        <f>(SUMPRODUCT(●計算表!$D$82:$F$82,●計算表!$D$85:$F$85)+SUMPRODUCT(●計算表!$D$82:$F$82,●計算表!$D$86:$F$86))*基礎情報!$Q$4</f>
        <v>0</v>
      </c>
      <c r="W67">
        <f>(●計算表!D96+●計算表!D97)*基礎情報!$Q$4</f>
        <v>0</v>
      </c>
      <c r="X67">
        <v>0</v>
      </c>
      <c r="Y67">
        <v>0</v>
      </c>
      <c r="Z67">
        <f>SUMPRODUCT(●計算表!$D$82:$F$82,●計算表!$D$98:$F$98)*基礎情報!$Q$4</f>
        <v>0</v>
      </c>
      <c r="AA67" s="324">
        <f>●計算表!D114</f>
        <v>0</v>
      </c>
    </row>
    <row r="68" spans="10:64">
      <c r="J68" s="356"/>
      <c r="K68" s="357"/>
      <c r="L68" s="357"/>
      <c r="M68" s="126"/>
      <c r="N68" s="124"/>
    </row>
    <row r="69" spans="10:64">
      <c r="J69" s="356" t="s">
        <v>123</v>
      </c>
      <c r="K69" s="357"/>
      <c r="L69" s="357"/>
      <c r="M69" s="357">
        <f>AC37*83</f>
        <v>0</v>
      </c>
      <c r="N69" s="126">
        <f>M36</f>
        <v>0</v>
      </c>
      <c r="U69" t="s">
        <v>720</v>
      </c>
      <c r="V69">
        <f>●計算表!P15*基礎情報!$Q$4</f>
        <v>0</v>
      </c>
      <c r="W69">
        <f>●計算表!P16*基礎情報!$Q$4</f>
        <v>0</v>
      </c>
      <c r="X69">
        <f>●計算表!P17*基礎情報!$Q$4</f>
        <v>0</v>
      </c>
      <c r="Y69">
        <f>(●計算表!P24+●計算表!P25)*基礎情報!$Q$4</f>
        <v>0</v>
      </c>
      <c r="Z69">
        <v>0</v>
      </c>
      <c r="AA69" s="324">
        <f>●計算表!P48</f>
        <v>0</v>
      </c>
    </row>
    <row r="70" spans="10:64">
      <c r="J70" s="124" t="s">
        <v>129</v>
      </c>
      <c r="K70" s="357">
        <f>N37*83</f>
        <v>0</v>
      </c>
      <c r="L70" s="357">
        <f>N38</f>
        <v>0</v>
      </c>
      <c r="M70" s="124"/>
      <c r="N70" s="126"/>
      <c r="U70" t="s">
        <v>719</v>
      </c>
      <c r="V70" s="377">
        <f>SUMPRODUCT(●計算表!$D$12:$J$12,●計算表!$D$15:$J$15)*基礎情報!$Q$4</f>
        <v>0</v>
      </c>
      <c r="W70" s="377">
        <f>●計算表!D16*基礎情報!$Q$4</f>
        <v>0</v>
      </c>
      <c r="X70" s="377">
        <f>SUMPRODUCT(●計算表!$D$12:$J$12,●計算表!$D$17:$J$17)*基礎情報!$Q$4</f>
        <v>0</v>
      </c>
      <c r="Y70" s="377">
        <f>(SUMPRODUCT(●計算表!$D$12:$J$12,●計算表!$D$24:$J$24)+SUMPRODUCT(●計算表!$D$12:$J$12,●計算表!$D$25:$J$25))*基礎情報!$Q$4</f>
        <v>0</v>
      </c>
      <c r="Z70" s="377">
        <v>0</v>
      </c>
      <c r="AA70" s="377">
        <f>●計算表!D48</f>
        <v>0</v>
      </c>
    </row>
    <row r="78" spans="10:64">
      <c r="BK78" s="574"/>
      <c r="BL78" s="574"/>
    </row>
    <row r="79" spans="10:64">
      <c r="BC79" s="574"/>
      <c r="BK79" s="574"/>
      <c r="BL79" s="574"/>
    </row>
    <row r="80" spans="10:64">
      <c r="BC80" s="574"/>
      <c r="BK80" s="574"/>
      <c r="BL80" s="574"/>
    </row>
    <row r="81" spans="2:65" ht="21">
      <c r="B81" s="341" t="s">
        <v>710</v>
      </c>
      <c r="BC81" s="574"/>
      <c r="BH81" s="574"/>
      <c r="BI81" s="574"/>
      <c r="BJ81" s="574"/>
      <c r="BK81" s="574"/>
      <c r="BL81" s="574"/>
      <c r="BM81" s="82"/>
    </row>
    <row r="82" spans="2:65" ht="14.25" thickBot="1">
      <c r="BC82" s="574"/>
      <c r="BH82" s="574"/>
      <c r="BI82" s="574"/>
      <c r="BJ82" s="574"/>
      <c r="BK82" s="574"/>
      <c r="BL82" s="574"/>
    </row>
    <row r="83" spans="2:65" ht="17.100000000000001" customHeight="1">
      <c r="B83" s="1294" t="s">
        <v>702</v>
      </c>
      <c r="C83" s="1036"/>
      <c r="D83" s="1036"/>
      <c r="E83" s="1036"/>
      <c r="F83" s="1036"/>
      <c r="G83" s="1036"/>
      <c r="H83" s="1036"/>
      <c r="I83" s="1062">
        <f>目標電子化率!$C$11</f>
        <v>1</v>
      </c>
      <c r="J83" s="1063"/>
      <c r="K83" s="1036" t="s">
        <v>802</v>
      </c>
      <c r="L83" s="1036"/>
      <c r="M83" s="1036"/>
      <c r="N83" s="1274" t="s">
        <v>400</v>
      </c>
      <c r="O83" s="1274"/>
      <c r="P83" s="1274"/>
      <c r="Q83" s="1274"/>
      <c r="R83" s="1274"/>
      <c r="S83" s="1312">
        <f>目標電子化率!$M$13</f>
        <v>0.2</v>
      </c>
      <c r="T83" s="1313"/>
      <c r="U83" s="1314"/>
      <c r="V83" s="1318" t="s">
        <v>401</v>
      </c>
      <c r="W83" s="1318"/>
      <c r="X83" s="1318"/>
      <c r="Y83" s="1318"/>
      <c r="Z83" s="1318"/>
      <c r="AA83" s="1319"/>
      <c r="AB83" s="1312">
        <f>目標電子化率!$M$14</f>
        <v>0</v>
      </c>
      <c r="AC83" s="1313"/>
      <c r="AD83" s="1314"/>
      <c r="AE83" s="417"/>
      <c r="AF83" s="417"/>
      <c r="AG83" s="417"/>
      <c r="AH83" s="416"/>
      <c r="AI83" s="417"/>
      <c r="AJ83" s="417"/>
      <c r="AK83" s="417"/>
      <c r="AL83" s="417"/>
      <c r="AM83" s="417"/>
      <c r="AN83" s="417"/>
      <c r="AO83" s="417"/>
      <c r="AP83" s="418"/>
      <c r="AQ83" s="418"/>
      <c r="AR83" s="418"/>
      <c r="AS83" s="419"/>
      <c r="BC83" s="574"/>
      <c r="BH83" s="574"/>
      <c r="BI83" s="574"/>
      <c r="BJ83" s="574"/>
      <c r="BK83" s="574"/>
      <c r="BL83" s="574"/>
    </row>
    <row r="84" spans="2:65" ht="17.100000000000001" customHeight="1" thickBot="1">
      <c r="B84" s="1295"/>
      <c r="C84" s="1038"/>
      <c r="D84" s="1038"/>
      <c r="E84" s="1038"/>
      <c r="F84" s="1038"/>
      <c r="G84" s="1038"/>
      <c r="H84" s="1038"/>
      <c r="I84" s="1064"/>
      <c r="J84" s="1065"/>
      <c r="K84" s="1038"/>
      <c r="L84" s="1038"/>
      <c r="M84" s="1038"/>
      <c r="N84" s="1275"/>
      <c r="O84" s="1275"/>
      <c r="P84" s="1275"/>
      <c r="Q84" s="1275"/>
      <c r="R84" s="1275"/>
      <c r="S84" s="1315"/>
      <c r="T84" s="1316"/>
      <c r="U84" s="1317"/>
      <c r="V84" s="1318"/>
      <c r="W84" s="1318"/>
      <c r="X84" s="1318"/>
      <c r="Y84" s="1318"/>
      <c r="Z84" s="1318"/>
      <c r="AA84" s="1319"/>
      <c r="AB84" s="1315"/>
      <c r="AC84" s="1316"/>
      <c r="AD84" s="1317"/>
      <c r="AE84" s="421"/>
      <c r="AF84" s="421"/>
      <c r="AG84" s="421"/>
      <c r="AH84" s="420"/>
      <c r="AI84" s="421"/>
      <c r="AJ84" s="421"/>
      <c r="AK84" s="421"/>
      <c r="AL84" s="421"/>
      <c r="AM84" s="421"/>
      <c r="AN84" s="421"/>
      <c r="AO84" s="421"/>
      <c r="AP84" s="422"/>
      <c r="AQ84" s="422"/>
      <c r="AR84" s="422"/>
      <c r="AS84" s="423"/>
      <c r="BC84" s="574"/>
      <c r="BH84" s="574"/>
      <c r="BI84" s="574"/>
      <c r="BJ84" s="574"/>
      <c r="BK84" s="574"/>
      <c r="BL84" s="574"/>
    </row>
    <row r="85" spans="2:65" ht="8.1" customHeight="1" thickBot="1">
      <c r="W85" s="340"/>
      <c r="X85" s="340"/>
      <c r="Y85" s="340"/>
      <c r="Z85" s="340"/>
      <c r="AH85" s="340"/>
      <c r="BC85" s="575"/>
      <c r="BH85" s="574"/>
      <c r="BI85" s="574"/>
      <c r="BJ85" s="574"/>
      <c r="BK85" s="574"/>
      <c r="BL85" s="574"/>
    </row>
    <row r="86" spans="2:65" ht="15.95" customHeight="1">
      <c r="C86" s="1047" t="s">
        <v>707</v>
      </c>
      <c r="D86" s="1048"/>
      <c r="E86" s="1048"/>
      <c r="F86" s="1048"/>
      <c r="G86" s="1049"/>
      <c r="H86" s="1047" t="s">
        <v>712</v>
      </c>
      <c r="I86" s="1048"/>
      <c r="J86" s="1048"/>
      <c r="K86" s="1048"/>
      <c r="L86" s="1049"/>
      <c r="M86" s="1047"/>
      <c r="N86" s="1048"/>
      <c r="O86" s="1048"/>
      <c r="P86" s="1047" t="s">
        <v>709</v>
      </c>
      <c r="Q86" s="1048"/>
      <c r="R86" s="1048"/>
      <c r="S86" s="1048"/>
      <c r="T86" s="1048"/>
      <c r="U86" s="1048"/>
      <c r="V86" s="1049"/>
      <c r="Y86" s="998" t="s">
        <v>708</v>
      </c>
      <c r="Z86" s="999"/>
      <c r="AA86" s="999"/>
      <c r="AB86" s="999"/>
      <c r="AC86" s="999"/>
      <c r="AD86" s="999"/>
      <c r="AE86" s="1000"/>
      <c r="AH86" s="1007" t="s">
        <v>170</v>
      </c>
      <c r="AI86" s="1007"/>
      <c r="AJ86" s="1007"/>
      <c r="AK86" s="1007"/>
      <c r="AL86" s="1007"/>
      <c r="AM86" s="1007"/>
      <c r="AN86" s="1007"/>
      <c r="AO86" s="1009" t="s">
        <v>171</v>
      </c>
      <c r="AP86" s="1009"/>
      <c r="AQ86" s="1009"/>
      <c r="BC86" s="574"/>
      <c r="BH86" s="574"/>
      <c r="BI86" s="574"/>
      <c r="BJ86" s="574"/>
      <c r="BK86" s="574"/>
      <c r="BL86" s="574"/>
    </row>
    <row r="87" spans="2:65" ht="15.95" customHeight="1" thickBot="1">
      <c r="C87" s="1050"/>
      <c r="D87" s="1051"/>
      <c r="E87" s="1051"/>
      <c r="F87" s="1051"/>
      <c r="G87" s="1052"/>
      <c r="H87" s="1050"/>
      <c r="I87" s="1051"/>
      <c r="J87" s="1051"/>
      <c r="K87" s="1051"/>
      <c r="L87" s="1052"/>
      <c r="M87" s="1050"/>
      <c r="N87" s="1051"/>
      <c r="O87" s="1051"/>
      <c r="P87" s="1050"/>
      <c r="Q87" s="1051"/>
      <c r="R87" s="1051"/>
      <c r="S87" s="1051"/>
      <c r="T87" s="1051"/>
      <c r="U87" s="1051"/>
      <c r="V87" s="1052"/>
      <c r="Y87" s="1001"/>
      <c r="Z87" s="1002"/>
      <c r="AA87" s="1002"/>
      <c r="AB87" s="1002"/>
      <c r="AC87" s="1002"/>
      <c r="AD87" s="1002"/>
      <c r="AE87" s="1003"/>
      <c r="AH87" s="1008"/>
      <c r="AI87" s="1008"/>
      <c r="AJ87" s="1008"/>
      <c r="AK87" s="1008"/>
      <c r="AL87" s="1008"/>
      <c r="AM87" s="1008"/>
      <c r="AN87" s="1008"/>
      <c r="AO87" s="1010"/>
      <c r="AP87" s="1010"/>
      <c r="AQ87" s="1010"/>
      <c r="AX87" s="574" t="s">
        <v>833</v>
      </c>
      <c r="AY87" s="572" t="s">
        <v>825</v>
      </c>
      <c r="AZ87" s="572" t="s">
        <v>428</v>
      </c>
      <c r="BA87" s="572" t="s">
        <v>523</v>
      </c>
      <c r="BB87" s="572" t="s">
        <v>831</v>
      </c>
      <c r="BC87" s="574" t="s">
        <v>832</v>
      </c>
      <c r="BD87" s="572" t="s">
        <v>825</v>
      </c>
      <c r="BE87" s="572" t="s">
        <v>428</v>
      </c>
      <c r="BF87" s="572" t="s">
        <v>523</v>
      </c>
      <c r="BG87" s="572" t="s">
        <v>831</v>
      </c>
      <c r="BH87" s="574" t="s">
        <v>711</v>
      </c>
      <c r="BI87" s="575" t="s">
        <v>825</v>
      </c>
      <c r="BJ87" s="575" t="s">
        <v>428</v>
      </c>
      <c r="BK87" s="575" t="s">
        <v>523</v>
      </c>
      <c r="BL87" s="572" t="s">
        <v>831</v>
      </c>
    </row>
    <row r="88" spans="2:65" ht="20.100000000000001" customHeight="1">
      <c r="C88" s="1039" t="s">
        <v>149</v>
      </c>
      <c r="D88" s="1040"/>
      <c r="E88" s="1040"/>
      <c r="F88" s="1040"/>
      <c r="G88" s="1041"/>
      <c r="H88" s="1268">
        <f>'&lt;参考&gt;●現在の業務の総コスト'!$G$6</f>
        <v>7200</v>
      </c>
      <c r="I88" s="1269"/>
      <c r="J88" s="1269"/>
      <c r="K88" s="1269"/>
      <c r="L88" s="1296"/>
      <c r="M88" s="1270" t="s">
        <v>150</v>
      </c>
      <c r="N88" s="1271"/>
      <c r="O88" s="1272"/>
      <c r="P88" s="1093" t="str">
        <f>BB88</f>
        <v>-</v>
      </c>
      <c r="Q88" s="1005"/>
      <c r="R88" s="1005"/>
      <c r="S88" s="1005"/>
      <c r="T88" s="1005"/>
      <c r="U88" s="1005"/>
      <c r="V88" s="1006"/>
      <c r="Y88" s="1004" t="str">
        <f>BG88</f>
        <v>-</v>
      </c>
      <c r="Z88" s="1005"/>
      <c r="AA88" s="1005"/>
      <c r="AB88" s="1005"/>
      <c r="AC88" s="1005"/>
      <c r="AD88" s="1005"/>
      <c r="AE88" s="1006"/>
      <c r="AH88" s="1020" t="str">
        <f>IF(BL88="-",BL88,"-"&amp;BL88)</f>
        <v>-</v>
      </c>
      <c r="AI88" s="1021"/>
      <c r="AJ88" s="1021"/>
      <c r="AK88" s="1021"/>
      <c r="AL88" s="1021"/>
      <c r="AM88" s="1021"/>
      <c r="AN88" s="1022"/>
      <c r="AO88" s="986">
        <f>IF(ISERROR(1-(BC88/'&lt;参考&gt;●現在の業務の総コスト'!$G$20)),0,1-(BC88/'&lt;参考&gt;●現在の業務の総コスト'!$G$20))</f>
        <v>0</v>
      </c>
      <c r="AP88" s="987"/>
      <c r="AQ88" s="988"/>
      <c r="AR88" s="962">
        <f>-(BH88*基礎情報!$Q$4)+AH89</f>
        <v>0</v>
      </c>
      <c r="AS88" s="963"/>
      <c r="AT88" s="963"/>
      <c r="AU88" s="963"/>
      <c r="AV88" s="964"/>
      <c r="AX88" s="574">
        <f>'&lt;参考&gt;●現在の業務の総コスト'!$G20</f>
        <v>0</v>
      </c>
      <c r="AY88" s="326">
        <f t="shared" ref="AY88:AY100" si="11">INT(AX88/$AY$6/60)</f>
        <v>0</v>
      </c>
      <c r="AZ88" s="326">
        <f t="shared" ref="AZ88:AZ100" si="12">INT((AX88-AY88*60*$AY$6)/60)</f>
        <v>0</v>
      </c>
      <c r="BA88" s="326">
        <f>ROUND(MOD(AX88,60),0)</f>
        <v>0</v>
      </c>
      <c r="BB88" s="573" t="str">
        <f>IF(AX88=0,"-",IF(AY88=0,"",AY88&amp;"日")&amp;IF(AZ88=0,"",AZ88&amp;"時間")&amp;IF(BA88=0,"",BA88&amp;"分"))</f>
        <v>-</v>
      </c>
      <c r="BC88" s="574">
        <f>(●計算表!$D$134*(1-$S$83))+(●計算表!$P$134*$S$83)</f>
        <v>0</v>
      </c>
      <c r="BD88" s="326">
        <f t="shared" ref="BD88:BD102" si="13">INT(BC88/$AY$6/60)</f>
        <v>0</v>
      </c>
      <c r="BE88" s="326">
        <f t="shared" ref="BE88:BE102" si="14">INT((BC88-BD88*60*$AY$6)/60)</f>
        <v>0</v>
      </c>
      <c r="BF88" s="326">
        <f>ROUND(MOD(BC88,60),0)</f>
        <v>0</v>
      </c>
      <c r="BG88" s="573" t="str">
        <f>IF(BC88=0,"-",IF(BD88=0,"",BD88&amp;"日")&amp;IF(BE88=0,"",BE88&amp;"時間")&amp;IF(BF88=0,"",BF88&amp;"分"))</f>
        <v>-</v>
      </c>
      <c r="BH88" s="574">
        <f>'&lt;参考&gt;●現在の業務の総コスト'!$G$20-BC88</f>
        <v>0</v>
      </c>
      <c r="BI88" s="574">
        <f t="shared" ref="BI88:BI102" si="15">INT(BH88/$AY$6/60)</f>
        <v>0</v>
      </c>
      <c r="BJ88" s="574">
        <f t="shared" ref="BJ88:BJ102" si="16">INT((BH88-BI88*60*$AY$6)/60)</f>
        <v>0</v>
      </c>
      <c r="BK88" s="574">
        <f t="shared" ref="BK88:BK102" si="17">ROUND(MOD(BH88,60),0)</f>
        <v>0</v>
      </c>
      <c r="BL88" s="573" t="str">
        <f t="shared" ref="BL88:BL102" si="18">IF(BH88=0,"-",IF(BI88=0,"",BI88&amp;"日")&amp;IF(BJ88=0,"",BJ88&amp;"時間")&amp;IF(BK88=0,"",BK88&amp;"分"))</f>
        <v>-</v>
      </c>
    </row>
    <row r="89" spans="2:65" ht="20.100000000000001" customHeight="1">
      <c r="C89" s="1042"/>
      <c r="D89" s="1043"/>
      <c r="E89" s="1043"/>
      <c r="F89" s="1043"/>
      <c r="G89" s="1044"/>
      <c r="H89" s="1087"/>
      <c r="I89" s="1088"/>
      <c r="J89" s="1088"/>
      <c r="K89" s="1088"/>
      <c r="L89" s="1089"/>
      <c r="M89" s="1081" t="s">
        <v>154</v>
      </c>
      <c r="N89" s="1082"/>
      <c r="O89" s="1083"/>
      <c r="P89" s="1310">
        <f>'&lt;参考&gt;●現在の業務の総コスト'!$N$19</f>
        <v>0</v>
      </c>
      <c r="Q89" s="1067"/>
      <c r="R89" s="1067"/>
      <c r="S89" s="1067"/>
      <c r="T89" s="1067"/>
      <c r="U89" s="1067"/>
      <c r="V89" s="1068"/>
      <c r="Y89" s="1066">
        <f>(●計算表!$D$74*(1-$S$83))+(●計算表!$P$74*$S$83)</f>
        <v>0</v>
      </c>
      <c r="Z89" s="1067"/>
      <c r="AA89" s="1067"/>
      <c r="AB89" s="1067"/>
      <c r="AC89" s="1067"/>
      <c r="AD89" s="1067"/>
      <c r="AE89" s="1068"/>
      <c r="AH89" s="1053">
        <f>-(P89-Y89)</f>
        <v>0</v>
      </c>
      <c r="AI89" s="1054"/>
      <c r="AJ89" s="1054"/>
      <c r="AK89" s="1054"/>
      <c r="AL89" s="1054"/>
      <c r="AM89" s="1054"/>
      <c r="AN89" s="1055"/>
      <c r="AO89" s="977">
        <f>IF(ISERROR(1-(Y89/P89)),0,1-(Y89/P89))</f>
        <v>0</v>
      </c>
      <c r="AP89" s="978"/>
      <c r="AQ89" s="979"/>
      <c r="AR89" s="974"/>
      <c r="AS89" s="975"/>
      <c r="AT89" s="975"/>
      <c r="AU89" s="975"/>
      <c r="AV89" s="976"/>
      <c r="AY89" s="326">
        <f t="shared" si="11"/>
        <v>0</v>
      </c>
      <c r="AZ89" s="326">
        <f t="shared" si="12"/>
        <v>0</v>
      </c>
      <c r="BA89" s="326">
        <f t="shared" ref="BA89:BA100" si="19">ROUND(MOD(AX89,60),0)</f>
        <v>0</v>
      </c>
      <c r="BB89" s="573" t="str">
        <f t="shared" ref="BB89:BB100" si="20">IF(AX89=0,"-",IF(AY89=0,"",AY89&amp;"日")&amp;IF(AZ89=0,"",AZ89&amp;"時間")&amp;IF(BA89=0,"",BA89&amp;"分"))</f>
        <v>-</v>
      </c>
      <c r="BC89" s="574"/>
      <c r="BD89" s="326">
        <f t="shared" si="13"/>
        <v>0</v>
      </c>
      <c r="BE89" s="326">
        <f t="shared" si="14"/>
        <v>0</v>
      </c>
      <c r="BF89" s="326">
        <f>ROUND(MOD(BC89,60),0)</f>
        <v>0</v>
      </c>
      <c r="BG89" s="573" t="str">
        <f>IF(BC89=0,"-",IF(BD89=0,"",BD89&amp;"日")&amp;IF(BE89=0,"",BE89&amp;"時間")&amp;IF(BF89=0,"",BF89&amp;"分"))</f>
        <v>-</v>
      </c>
      <c r="BH89" s="574"/>
      <c r="BI89" s="574">
        <f t="shared" si="15"/>
        <v>0</v>
      </c>
      <c r="BJ89" s="574">
        <f t="shared" si="16"/>
        <v>0</v>
      </c>
      <c r="BK89" s="574">
        <f t="shared" si="17"/>
        <v>0</v>
      </c>
      <c r="BL89" s="573" t="str">
        <f t="shared" si="18"/>
        <v>-</v>
      </c>
    </row>
    <row r="90" spans="2:65" ht="20.100000000000001" customHeight="1">
      <c r="C90" s="1042" t="s">
        <v>224</v>
      </c>
      <c r="D90" s="1043"/>
      <c r="E90" s="1043"/>
      <c r="F90" s="1043"/>
      <c r="G90" s="1044"/>
      <c r="H90" s="1087">
        <f>'&lt;参考&gt;●現在の業務の総コスト'!$G$6</f>
        <v>7200</v>
      </c>
      <c r="I90" s="1088"/>
      <c r="J90" s="1088"/>
      <c r="K90" s="1088"/>
      <c r="L90" s="1089"/>
      <c r="M90" s="1081" t="s">
        <v>150</v>
      </c>
      <c r="N90" s="1082"/>
      <c r="O90" s="1083"/>
      <c r="P90" s="1285" t="str">
        <f>BB90</f>
        <v>-</v>
      </c>
      <c r="Q90" s="1286"/>
      <c r="R90" s="1286"/>
      <c r="S90" s="1286"/>
      <c r="T90" s="1286"/>
      <c r="U90" s="1286"/>
      <c r="V90" s="1287"/>
      <c r="Y90" s="1078" t="str">
        <f>BG90</f>
        <v>-</v>
      </c>
      <c r="Z90" s="1079"/>
      <c r="AA90" s="1079"/>
      <c r="AB90" s="1079"/>
      <c r="AC90" s="1079"/>
      <c r="AD90" s="1079"/>
      <c r="AE90" s="1080"/>
      <c r="AH90" s="1072" t="str">
        <f>IF(BL90="-",BL90,"-"&amp;BL90)</f>
        <v>-</v>
      </c>
      <c r="AI90" s="1073"/>
      <c r="AJ90" s="1073"/>
      <c r="AK90" s="1073"/>
      <c r="AL90" s="1073"/>
      <c r="AM90" s="1073"/>
      <c r="AN90" s="1074"/>
      <c r="AO90" s="977">
        <f>IF(ISERROR(1-(BC90/'&lt;参考&gt;●現在の業務の総コスト'!$G$22)),0,1-(BC90/'&lt;参考&gt;●現在の業務の総コスト'!$G$22))</f>
        <v>0</v>
      </c>
      <c r="AP90" s="978"/>
      <c r="AQ90" s="979"/>
      <c r="AR90" s="971">
        <f>-(BH90*基礎情報!$Q$4)+AH91</f>
        <v>0</v>
      </c>
      <c r="AS90" s="972"/>
      <c r="AT90" s="972"/>
      <c r="AU90" s="972"/>
      <c r="AV90" s="973"/>
      <c r="AX90" s="574">
        <f>'&lt;参考&gt;●現在の業務の総コスト'!$G22</f>
        <v>0</v>
      </c>
      <c r="AY90" s="326">
        <f t="shared" si="11"/>
        <v>0</v>
      </c>
      <c r="AZ90" s="326">
        <f t="shared" si="12"/>
        <v>0</v>
      </c>
      <c r="BA90" s="326">
        <f t="shared" si="19"/>
        <v>0</v>
      </c>
      <c r="BB90" s="573" t="str">
        <f t="shared" si="20"/>
        <v>-</v>
      </c>
      <c r="BC90" s="574">
        <f>(●計算表!$D$134*(1-$S$83))+(●計算表!$P$134*$S$83)</f>
        <v>0</v>
      </c>
      <c r="BD90" s="326">
        <f t="shared" si="13"/>
        <v>0</v>
      </c>
      <c r="BE90" s="326">
        <f t="shared" si="14"/>
        <v>0</v>
      </c>
      <c r="BF90" s="326">
        <f t="shared" ref="BF90:BF150" si="21">ROUND(MOD(BC90,60),0)</f>
        <v>0</v>
      </c>
      <c r="BG90" s="573" t="str">
        <f t="shared" ref="BG90:BG150" si="22">IF(BC90=0,"-",IF(BD90=0,"",BD90&amp;"日")&amp;IF(BE90=0,"",BE90&amp;"時間")&amp;IF(BF90=0,"",BF90&amp;"分"))</f>
        <v>-</v>
      </c>
      <c r="BH90" s="574">
        <f>'&lt;参考&gt;●現在の業務の総コスト'!$G$22-BC90</f>
        <v>0</v>
      </c>
      <c r="BI90" s="574">
        <f t="shared" si="15"/>
        <v>0</v>
      </c>
      <c r="BJ90" s="574">
        <f t="shared" si="16"/>
        <v>0</v>
      </c>
      <c r="BK90" s="574">
        <f t="shared" si="17"/>
        <v>0</v>
      </c>
      <c r="BL90" s="573" t="str">
        <f t="shared" si="18"/>
        <v>-</v>
      </c>
    </row>
    <row r="91" spans="2:65" ht="20.100000000000001" customHeight="1" thickBot="1">
      <c r="C91" s="1265"/>
      <c r="D91" s="1266"/>
      <c r="E91" s="1266"/>
      <c r="F91" s="1266"/>
      <c r="G91" s="1267"/>
      <c r="H91" s="1090"/>
      <c r="I91" s="1091"/>
      <c r="J91" s="1091"/>
      <c r="K91" s="1091"/>
      <c r="L91" s="1092"/>
      <c r="M91" s="1084" t="s">
        <v>154</v>
      </c>
      <c r="N91" s="1085"/>
      <c r="O91" s="1086"/>
      <c r="P91" s="1284">
        <f>'&lt;参考&gt;●現在の業務の総コスト'!$N$21</f>
        <v>0</v>
      </c>
      <c r="Q91" s="1018"/>
      <c r="R91" s="1018"/>
      <c r="S91" s="1018"/>
      <c r="T91" s="1018"/>
      <c r="U91" s="1018"/>
      <c r="V91" s="1019"/>
      <c r="Y91" s="1017">
        <f>(●計算表!$D$140*(1-$S$83))+(●計算表!$P$140*$S$83)</f>
        <v>0</v>
      </c>
      <c r="Z91" s="1018"/>
      <c r="AA91" s="1018"/>
      <c r="AB91" s="1018"/>
      <c r="AC91" s="1018"/>
      <c r="AD91" s="1018"/>
      <c r="AE91" s="1019"/>
      <c r="AH91" s="1029">
        <f>-(P91-Y91)</f>
        <v>0</v>
      </c>
      <c r="AI91" s="1030"/>
      <c r="AJ91" s="1030"/>
      <c r="AK91" s="1030"/>
      <c r="AL91" s="1030"/>
      <c r="AM91" s="1030"/>
      <c r="AN91" s="1031"/>
      <c r="AO91" s="977">
        <f>IF(ISERROR(1-(Y91/P91)),0,1-(Y91/P91))</f>
        <v>0</v>
      </c>
      <c r="AP91" s="978"/>
      <c r="AQ91" s="979"/>
      <c r="AR91" s="965"/>
      <c r="AS91" s="966"/>
      <c r="AT91" s="966"/>
      <c r="AU91" s="966"/>
      <c r="AV91" s="967"/>
      <c r="AY91" s="326">
        <f t="shared" si="11"/>
        <v>0</v>
      </c>
      <c r="AZ91" s="326">
        <f t="shared" si="12"/>
        <v>0</v>
      </c>
      <c r="BA91" s="326">
        <f t="shared" si="19"/>
        <v>0</v>
      </c>
      <c r="BB91" s="573" t="str">
        <f t="shared" si="20"/>
        <v>-</v>
      </c>
      <c r="BC91" s="574"/>
      <c r="BD91" s="326">
        <f t="shared" si="13"/>
        <v>0</v>
      </c>
      <c r="BE91" s="326">
        <f t="shared" si="14"/>
        <v>0</v>
      </c>
      <c r="BF91" s="326">
        <f t="shared" si="21"/>
        <v>0</v>
      </c>
      <c r="BG91" s="573" t="str">
        <f t="shared" si="22"/>
        <v>-</v>
      </c>
      <c r="BH91" s="574"/>
      <c r="BI91" s="574">
        <f t="shared" si="15"/>
        <v>0</v>
      </c>
      <c r="BJ91" s="574">
        <f t="shared" si="16"/>
        <v>0</v>
      </c>
      <c r="BK91" s="574">
        <f t="shared" si="17"/>
        <v>0</v>
      </c>
      <c r="BL91" s="573" t="str">
        <f t="shared" si="18"/>
        <v>-</v>
      </c>
    </row>
    <row r="92" spans="2:65" ht="20.100000000000001" customHeight="1">
      <c r="C92" s="1039" t="s">
        <v>157</v>
      </c>
      <c r="D92" s="1040"/>
      <c r="E92" s="1040"/>
      <c r="F92" s="1040"/>
      <c r="G92" s="1041"/>
      <c r="H92" s="1268">
        <f>'&lt;参考&gt;●現在の業務の総コスト'!$G$5</f>
        <v>2400</v>
      </c>
      <c r="I92" s="1269"/>
      <c r="J92" s="1269"/>
      <c r="K92" s="1269"/>
      <c r="L92" s="1296"/>
      <c r="M92" s="1270" t="s">
        <v>150</v>
      </c>
      <c r="N92" s="1271"/>
      <c r="O92" s="1272"/>
      <c r="P92" s="1311" t="str">
        <f>BB92</f>
        <v>300日</v>
      </c>
      <c r="Q92" s="1239"/>
      <c r="R92" s="1239"/>
      <c r="S92" s="1239"/>
      <c r="T92" s="1239"/>
      <c r="U92" s="1239"/>
      <c r="V92" s="1240"/>
      <c r="Y92" s="1004" t="str">
        <f>BG92</f>
        <v>285日</v>
      </c>
      <c r="Z92" s="1005"/>
      <c r="AA92" s="1005"/>
      <c r="AB92" s="1005"/>
      <c r="AC92" s="1005"/>
      <c r="AD92" s="1005"/>
      <c r="AE92" s="1006"/>
      <c r="AH92" s="1020" t="str">
        <f>IF(BL92="-",BL92,"-"&amp;BL92)</f>
        <v>-15日</v>
      </c>
      <c r="AI92" s="1021"/>
      <c r="AJ92" s="1021"/>
      <c r="AK92" s="1021"/>
      <c r="AL92" s="1021"/>
      <c r="AM92" s="1021"/>
      <c r="AN92" s="1022"/>
      <c r="AO92" s="986">
        <f>IF(ISERROR(1-(BC92/'&lt;参考&gt;●現在の業務の総コスト'!$G$24)),0,1-(BC92/'&lt;参考&gt;●現在の業務の総コスト'!$G$24))</f>
        <v>5.0000000000000044E-2</v>
      </c>
      <c r="AP92" s="987"/>
      <c r="AQ92" s="988"/>
      <c r="AR92" s="962">
        <f>-(BH92*基礎情報!$Q$4)+AH93</f>
        <v>-417888</v>
      </c>
      <c r="AS92" s="963"/>
      <c r="AT92" s="963"/>
      <c r="AU92" s="963"/>
      <c r="AV92" s="964"/>
      <c r="AX92" s="574">
        <f>'&lt;参考&gt;●現在の業務の総コスト'!$G24</f>
        <v>144000</v>
      </c>
      <c r="AY92" s="326">
        <f t="shared" si="11"/>
        <v>300</v>
      </c>
      <c r="AZ92" s="326">
        <f t="shared" si="12"/>
        <v>0</v>
      </c>
      <c r="BA92" s="326">
        <f t="shared" si="19"/>
        <v>0</v>
      </c>
      <c r="BB92" s="573" t="str">
        <f t="shared" si="20"/>
        <v>300日</v>
      </c>
      <c r="BC92" s="574">
        <f>(●計算表!$D$194*(1-$S$83))+(●計算表!$P$194*$S$83)</f>
        <v>136800</v>
      </c>
      <c r="BD92" s="326">
        <f t="shared" si="13"/>
        <v>285</v>
      </c>
      <c r="BE92" s="326">
        <f t="shared" si="14"/>
        <v>0</v>
      </c>
      <c r="BF92" s="326">
        <f t="shared" si="21"/>
        <v>0</v>
      </c>
      <c r="BG92" s="573" t="str">
        <f t="shared" si="22"/>
        <v>285日</v>
      </c>
      <c r="BH92" s="574">
        <f>'&lt;参考&gt;●現在の業務の総コスト'!$G$24-BC92</f>
        <v>7200</v>
      </c>
      <c r="BI92" s="574">
        <f t="shared" si="15"/>
        <v>15</v>
      </c>
      <c r="BJ92" s="574">
        <f t="shared" si="16"/>
        <v>0</v>
      </c>
      <c r="BK92" s="574">
        <f t="shared" si="17"/>
        <v>0</v>
      </c>
      <c r="BL92" s="573" t="str">
        <f t="shared" si="18"/>
        <v>15日</v>
      </c>
    </row>
    <row r="93" spans="2:65" ht="20.100000000000001" customHeight="1">
      <c r="C93" s="1042"/>
      <c r="D93" s="1043"/>
      <c r="E93" s="1043"/>
      <c r="F93" s="1043"/>
      <c r="G93" s="1044"/>
      <c r="H93" s="1087"/>
      <c r="I93" s="1088"/>
      <c r="J93" s="1088"/>
      <c r="K93" s="1088"/>
      <c r="L93" s="1089"/>
      <c r="M93" s="1081" t="s">
        <v>154</v>
      </c>
      <c r="N93" s="1082"/>
      <c r="O93" s="1083"/>
      <c r="P93" s="1310">
        <f>'&lt;参考&gt;●現在の業務の総コスト'!$N$23</f>
        <v>289440</v>
      </c>
      <c r="Q93" s="1067"/>
      <c r="R93" s="1067"/>
      <c r="S93" s="1067"/>
      <c r="T93" s="1067"/>
      <c r="U93" s="1067"/>
      <c r="V93" s="1068"/>
      <c r="Y93" s="1066">
        <f>(●計算表!$D$200*(1-$S$83))+(●計算表!$P$200*$S$83)</f>
        <v>231552</v>
      </c>
      <c r="Z93" s="1067"/>
      <c r="AA93" s="1067"/>
      <c r="AB93" s="1067"/>
      <c r="AC93" s="1067"/>
      <c r="AD93" s="1067"/>
      <c r="AE93" s="1068"/>
      <c r="AH93" s="1053">
        <f>-(P93-Y93)</f>
        <v>-57888</v>
      </c>
      <c r="AI93" s="1054"/>
      <c r="AJ93" s="1054"/>
      <c r="AK93" s="1054"/>
      <c r="AL93" s="1054"/>
      <c r="AM93" s="1054"/>
      <c r="AN93" s="1055"/>
      <c r="AO93" s="977">
        <f>IF(ISERROR(1-(Y93/P93)),0,1-(Y93/P93))</f>
        <v>0.19999999999999996</v>
      </c>
      <c r="AP93" s="978"/>
      <c r="AQ93" s="979"/>
      <c r="AR93" s="974"/>
      <c r="AS93" s="975"/>
      <c r="AT93" s="975"/>
      <c r="AU93" s="975"/>
      <c r="AV93" s="976"/>
      <c r="AY93" s="326">
        <f t="shared" si="11"/>
        <v>0</v>
      </c>
      <c r="AZ93" s="326">
        <f t="shared" si="12"/>
        <v>0</v>
      </c>
      <c r="BA93" s="326">
        <f t="shared" si="19"/>
        <v>0</v>
      </c>
      <c r="BB93" s="573" t="str">
        <f t="shared" si="20"/>
        <v>-</v>
      </c>
      <c r="BC93" s="574"/>
      <c r="BD93" s="326">
        <f t="shared" si="13"/>
        <v>0</v>
      </c>
      <c r="BE93" s="326">
        <f t="shared" si="14"/>
        <v>0</v>
      </c>
      <c r="BF93" s="326">
        <f t="shared" si="21"/>
        <v>0</v>
      </c>
      <c r="BG93" s="573" t="str">
        <f t="shared" si="22"/>
        <v>-</v>
      </c>
      <c r="BH93" s="574"/>
      <c r="BI93" s="574">
        <f t="shared" si="15"/>
        <v>0</v>
      </c>
      <c r="BJ93" s="574">
        <f t="shared" si="16"/>
        <v>0</v>
      </c>
      <c r="BK93" s="574">
        <f t="shared" si="17"/>
        <v>0</v>
      </c>
      <c r="BL93" s="573" t="str">
        <f t="shared" si="18"/>
        <v>-</v>
      </c>
    </row>
    <row r="94" spans="2:65" ht="20.100000000000001" customHeight="1">
      <c r="C94" s="1042" t="s">
        <v>158</v>
      </c>
      <c r="D94" s="1043"/>
      <c r="E94" s="1043"/>
      <c r="F94" s="1043"/>
      <c r="G94" s="1044"/>
      <c r="H94" s="1087">
        <f>'&lt;参考&gt;●現在の業務の総コスト'!$G$5</f>
        <v>2400</v>
      </c>
      <c r="I94" s="1088"/>
      <c r="J94" s="1088"/>
      <c r="K94" s="1088"/>
      <c r="L94" s="1089"/>
      <c r="M94" s="1081" t="s">
        <v>150</v>
      </c>
      <c r="N94" s="1082"/>
      <c r="O94" s="1083"/>
      <c r="P94" s="1285" t="str">
        <f>BB94</f>
        <v>15日</v>
      </c>
      <c r="Q94" s="1286"/>
      <c r="R94" s="1286"/>
      <c r="S94" s="1286"/>
      <c r="T94" s="1286"/>
      <c r="U94" s="1286"/>
      <c r="V94" s="1287"/>
      <c r="Y94" s="1078" t="str">
        <f>BG94</f>
        <v>15日</v>
      </c>
      <c r="Z94" s="1079"/>
      <c r="AA94" s="1079"/>
      <c r="AB94" s="1079"/>
      <c r="AC94" s="1079"/>
      <c r="AD94" s="1079"/>
      <c r="AE94" s="1080"/>
      <c r="AH94" s="1072" t="str">
        <f>IF(BL94="-",BL94,"-"&amp;BL94)</f>
        <v>-</v>
      </c>
      <c r="AI94" s="1073"/>
      <c r="AJ94" s="1073"/>
      <c r="AK94" s="1073"/>
      <c r="AL94" s="1073"/>
      <c r="AM94" s="1073"/>
      <c r="AN94" s="1074"/>
      <c r="AO94" s="977">
        <f>IF(ISERROR(1-(BC94/'&lt;参考&gt;●現在の業務の総コスト'!$G$26)),0,1-(BC94/'&lt;参考&gt;●現在の業務の総コスト'!$G$26))</f>
        <v>0</v>
      </c>
      <c r="AP94" s="978"/>
      <c r="AQ94" s="979"/>
      <c r="AR94" s="971">
        <f>-(BH94*基礎情報!$Q$4)+AH95</f>
        <v>-3744</v>
      </c>
      <c r="AS94" s="972"/>
      <c r="AT94" s="972"/>
      <c r="AU94" s="972"/>
      <c r="AV94" s="973"/>
      <c r="AX94" s="574">
        <f>'&lt;参考&gt;●現在の業務の総コスト'!$G26</f>
        <v>7200</v>
      </c>
      <c r="AY94" s="326">
        <f t="shared" si="11"/>
        <v>15</v>
      </c>
      <c r="AZ94" s="326">
        <f t="shared" si="12"/>
        <v>0</v>
      </c>
      <c r="BA94" s="326">
        <f t="shared" si="19"/>
        <v>0</v>
      </c>
      <c r="BB94" s="573" t="str">
        <f t="shared" si="20"/>
        <v>15日</v>
      </c>
      <c r="BC94" s="574">
        <f>(●計算表!$D$254*(1-$S$83))+(●計算表!$P$254*$S$83)</f>
        <v>7200</v>
      </c>
      <c r="BD94" s="326">
        <f t="shared" si="13"/>
        <v>15</v>
      </c>
      <c r="BE94" s="326">
        <f t="shared" si="14"/>
        <v>0</v>
      </c>
      <c r="BF94" s="326">
        <f t="shared" si="21"/>
        <v>0</v>
      </c>
      <c r="BG94" s="573" t="str">
        <f t="shared" si="22"/>
        <v>15日</v>
      </c>
      <c r="BH94" s="574">
        <f>'&lt;参考&gt;●現在の業務の総コスト'!$G$26-BC94</f>
        <v>0</v>
      </c>
      <c r="BI94" s="574">
        <f t="shared" si="15"/>
        <v>0</v>
      </c>
      <c r="BJ94" s="574">
        <f t="shared" si="16"/>
        <v>0</v>
      </c>
      <c r="BK94" s="574">
        <f t="shared" si="17"/>
        <v>0</v>
      </c>
      <c r="BL94" s="573" t="str">
        <f t="shared" si="18"/>
        <v>-</v>
      </c>
    </row>
    <row r="95" spans="2:65" ht="20.100000000000001" customHeight="1" thickBot="1">
      <c r="C95" s="1265"/>
      <c r="D95" s="1266"/>
      <c r="E95" s="1266"/>
      <c r="F95" s="1266"/>
      <c r="G95" s="1267"/>
      <c r="H95" s="1090"/>
      <c r="I95" s="1091"/>
      <c r="J95" s="1091"/>
      <c r="K95" s="1091"/>
      <c r="L95" s="1092"/>
      <c r="M95" s="1084" t="s">
        <v>154</v>
      </c>
      <c r="N95" s="1085"/>
      <c r="O95" s="1086"/>
      <c r="P95" s="1284">
        <f>'&lt;参考&gt;●現在の業務の総コスト'!$N$25</f>
        <v>18720</v>
      </c>
      <c r="Q95" s="1018"/>
      <c r="R95" s="1018"/>
      <c r="S95" s="1018"/>
      <c r="T95" s="1018"/>
      <c r="U95" s="1018"/>
      <c r="V95" s="1019"/>
      <c r="Y95" s="1017">
        <f>(●計算表!$D$260*(1-$S$83))+(●計算表!$P$260*$S$83)</f>
        <v>14976</v>
      </c>
      <c r="Z95" s="1018"/>
      <c r="AA95" s="1018"/>
      <c r="AB95" s="1018"/>
      <c r="AC95" s="1018"/>
      <c r="AD95" s="1018"/>
      <c r="AE95" s="1019"/>
      <c r="AH95" s="1029">
        <f>-(P95-Y95)</f>
        <v>-3744</v>
      </c>
      <c r="AI95" s="1030"/>
      <c r="AJ95" s="1030"/>
      <c r="AK95" s="1030"/>
      <c r="AL95" s="1030"/>
      <c r="AM95" s="1030"/>
      <c r="AN95" s="1031"/>
      <c r="AO95" s="977">
        <f>IF(ISERROR(1-(Y95/P95)),0,1-(Y95/P95))</f>
        <v>0.19999999999999996</v>
      </c>
      <c r="AP95" s="978"/>
      <c r="AQ95" s="979"/>
      <c r="AR95" s="965"/>
      <c r="AS95" s="966"/>
      <c r="AT95" s="966"/>
      <c r="AU95" s="966"/>
      <c r="AV95" s="967"/>
      <c r="AY95" s="326">
        <f t="shared" si="11"/>
        <v>0</v>
      </c>
      <c r="AZ95" s="326">
        <f t="shared" si="12"/>
        <v>0</v>
      </c>
      <c r="BA95" s="326">
        <f t="shared" si="19"/>
        <v>0</v>
      </c>
      <c r="BB95" s="573" t="str">
        <f t="shared" si="20"/>
        <v>-</v>
      </c>
      <c r="BC95" s="574"/>
      <c r="BD95" s="326">
        <f t="shared" si="13"/>
        <v>0</v>
      </c>
      <c r="BE95" s="326">
        <f t="shared" si="14"/>
        <v>0</v>
      </c>
      <c r="BF95" s="326">
        <f t="shared" si="21"/>
        <v>0</v>
      </c>
      <c r="BG95" s="573" t="str">
        <f t="shared" si="22"/>
        <v>-</v>
      </c>
      <c r="BH95" s="574"/>
      <c r="BI95" s="574">
        <f t="shared" si="15"/>
        <v>0</v>
      </c>
      <c r="BJ95" s="574">
        <f t="shared" si="16"/>
        <v>0</v>
      </c>
      <c r="BK95" s="574">
        <f t="shared" si="17"/>
        <v>0</v>
      </c>
      <c r="BL95" s="573" t="str">
        <f t="shared" si="18"/>
        <v>-</v>
      </c>
    </row>
    <row r="96" spans="2:65" ht="20.100000000000001" customHeight="1">
      <c r="C96" s="697" t="s">
        <v>159</v>
      </c>
      <c r="D96" s="698"/>
      <c r="E96" s="698"/>
      <c r="F96" s="698"/>
      <c r="G96" s="698"/>
      <c r="H96" s="1268">
        <f>'&lt;参考&gt;●現在の業務の総コスト'!$O$6</f>
        <v>0</v>
      </c>
      <c r="I96" s="1269"/>
      <c r="J96" s="1269"/>
      <c r="K96" s="1269"/>
      <c r="L96" s="1269"/>
      <c r="M96" s="1270" t="s">
        <v>150</v>
      </c>
      <c r="N96" s="1271"/>
      <c r="O96" s="1272"/>
      <c r="P96" s="1239" t="str">
        <f>BB96</f>
        <v>-</v>
      </c>
      <c r="Q96" s="1239"/>
      <c r="R96" s="1239"/>
      <c r="S96" s="1239"/>
      <c r="T96" s="1239"/>
      <c r="U96" s="1239"/>
      <c r="V96" s="1240"/>
      <c r="Y96" s="1004" t="str">
        <f>BG96</f>
        <v>-</v>
      </c>
      <c r="Z96" s="1005"/>
      <c r="AA96" s="1005"/>
      <c r="AB96" s="1005"/>
      <c r="AC96" s="1005"/>
      <c r="AD96" s="1005"/>
      <c r="AE96" s="1006"/>
      <c r="AH96" s="1020" t="str">
        <f>IF(BL96="-",BL96,"-"&amp;BL96)</f>
        <v>-</v>
      </c>
      <c r="AI96" s="1021"/>
      <c r="AJ96" s="1021"/>
      <c r="AK96" s="1021"/>
      <c r="AL96" s="1021"/>
      <c r="AM96" s="1021"/>
      <c r="AN96" s="1022"/>
      <c r="AO96" s="986">
        <f>IF(ISERROR(1-(BC96/'&lt;参考&gt;●現在の業務の総コスト'!$G$28)),0,1-(BC96/'&lt;参考&gt;●現在の業務の総コスト'!$G$28))</f>
        <v>0</v>
      </c>
      <c r="AP96" s="987"/>
      <c r="AQ96" s="988"/>
      <c r="AR96" s="962">
        <f>-(BH96*基礎情報!$Q$4)+AH97</f>
        <v>0</v>
      </c>
      <c r="AS96" s="963"/>
      <c r="AT96" s="963"/>
      <c r="AU96" s="963"/>
      <c r="AV96" s="964"/>
      <c r="AX96" s="574">
        <f>'&lt;参考&gt;●現在の業務の総コスト'!$G28</f>
        <v>0</v>
      </c>
      <c r="AY96" s="326">
        <f t="shared" si="11"/>
        <v>0</v>
      </c>
      <c r="AZ96" s="326">
        <f t="shared" si="12"/>
        <v>0</v>
      </c>
      <c r="BA96" s="326">
        <f t="shared" si="19"/>
        <v>0</v>
      </c>
      <c r="BB96" s="573" t="str">
        <f t="shared" si="20"/>
        <v>-</v>
      </c>
      <c r="BC96" s="574">
        <f>(●計算表!$D$310*(1-$AB$83))+(●計算表!$P$310*$AB$83)</f>
        <v>0</v>
      </c>
      <c r="BD96" s="326">
        <f t="shared" si="13"/>
        <v>0</v>
      </c>
      <c r="BE96" s="326">
        <f t="shared" si="14"/>
        <v>0</v>
      </c>
      <c r="BF96" s="326">
        <f t="shared" si="21"/>
        <v>0</v>
      </c>
      <c r="BG96" s="573" t="str">
        <f t="shared" si="22"/>
        <v>-</v>
      </c>
      <c r="BH96" s="574">
        <f>'&lt;参考&gt;●現在の業務の総コスト'!$G$28-BC96</f>
        <v>0</v>
      </c>
      <c r="BI96" s="574">
        <f t="shared" si="15"/>
        <v>0</v>
      </c>
      <c r="BJ96" s="574">
        <f t="shared" si="16"/>
        <v>0</v>
      </c>
      <c r="BK96" s="574">
        <f t="shared" si="17"/>
        <v>0</v>
      </c>
      <c r="BL96" s="573" t="str">
        <f t="shared" si="18"/>
        <v>-</v>
      </c>
    </row>
    <row r="97" spans="2:70" ht="20.100000000000001" customHeight="1" thickBot="1">
      <c r="C97" s="699"/>
      <c r="D97" s="700"/>
      <c r="E97" s="700"/>
      <c r="F97" s="700"/>
      <c r="G97" s="700"/>
      <c r="H97" s="1090"/>
      <c r="I97" s="1091"/>
      <c r="J97" s="1091"/>
      <c r="K97" s="1091"/>
      <c r="L97" s="1091"/>
      <c r="M97" s="1084" t="s">
        <v>154</v>
      </c>
      <c r="N97" s="1085"/>
      <c r="O97" s="1086"/>
      <c r="P97" s="1018">
        <f>'&lt;参考&gt;●現在の業務の総コスト'!$N$27</f>
        <v>0</v>
      </c>
      <c r="Q97" s="1018"/>
      <c r="R97" s="1018"/>
      <c r="S97" s="1018"/>
      <c r="T97" s="1018"/>
      <c r="U97" s="1018"/>
      <c r="V97" s="1019"/>
      <c r="Y97" s="1017">
        <f>(●計算表!$D$316*(1-$AB$83))+(●計算表!$P$316*$AB$83)</f>
        <v>0</v>
      </c>
      <c r="Z97" s="1018"/>
      <c r="AA97" s="1018"/>
      <c r="AB97" s="1018"/>
      <c r="AC97" s="1018"/>
      <c r="AD97" s="1018"/>
      <c r="AE97" s="1019"/>
      <c r="AH97" s="1029">
        <f>-(P97-Y97)</f>
        <v>0</v>
      </c>
      <c r="AI97" s="1030"/>
      <c r="AJ97" s="1030"/>
      <c r="AK97" s="1030"/>
      <c r="AL97" s="1030"/>
      <c r="AM97" s="1030"/>
      <c r="AN97" s="1031"/>
      <c r="AO97" s="977">
        <f>IF(ISERROR(1-(Y97/P97)),0,1-(Y97/P97))</f>
        <v>0</v>
      </c>
      <c r="AP97" s="978"/>
      <c r="AQ97" s="979"/>
      <c r="AR97" s="965"/>
      <c r="AS97" s="966"/>
      <c r="AT97" s="966"/>
      <c r="AU97" s="966"/>
      <c r="AV97" s="967"/>
      <c r="AY97" s="326">
        <f t="shared" si="11"/>
        <v>0</v>
      </c>
      <c r="AZ97" s="326">
        <f t="shared" si="12"/>
        <v>0</v>
      </c>
      <c r="BA97" s="326">
        <f t="shared" si="19"/>
        <v>0</v>
      </c>
      <c r="BB97" s="573" t="str">
        <f t="shared" si="20"/>
        <v>-</v>
      </c>
      <c r="BC97" s="574"/>
      <c r="BD97" s="326">
        <f t="shared" si="13"/>
        <v>0</v>
      </c>
      <c r="BE97" s="326">
        <f t="shared" si="14"/>
        <v>0</v>
      </c>
      <c r="BF97" s="326">
        <f t="shared" si="21"/>
        <v>0</v>
      </c>
      <c r="BG97" s="573" t="str">
        <f t="shared" si="22"/>
        <v>-</v>
      </c>
      <c r="BH97" s="574"/>
      <c r="BI97" s="574">
        <f t="shared" si="15"/>
        <v>0</v>
      </c>
      <c r="BJ97" s="574">
        <f t="shared" si="16"/>
        <v>0</v>
      </c>
      <c r="BK97" s="574">
        <f t="shared" si="17"/>
        <v>0</v>
      </c>
      <c r="BL97" s="573" t="str">
        <f t="shared" si="18"/>
        <v>-</v>
      </c>
    </row>
    <row r="98" spans="2:70" ht="20.100000000000001" customHeight="1">
      <c r="C98" s="697" t="s">
        <v>160</v>
      </c>
      <c r="D98" s="698"/>
      <c r="E98" s="698"/>
      <c r="F98" s="698"/>
      <c r="G98" s="698"/>
      <c r="H98" s="1268">
        <f>'&lt;参考&gt;●現在の業務の総コスト'!$O$6</f>
        <v>0</v>
      </c>
      <c r="I98" s="1269"/>
      <c r="J98" s="1269"/>
      <c r="K98" s="1269"/>
      <c r="L98" s="1269"/>
      <c r="M98" s="1270" t="s">
        <v>150</v>
      </c>
      <c r="N98" s="1271"/>
      <c r="O98" s="1272"/>
      <c r="P98" s="1239" t="str">
        <f>BB98</f>
        <v>-</v>
      </c>
      <c r="Q98" s="1239"/>
      <c r="R98" s="1239"/>
      <c r="S98" s="1239"/>
      <c r="T98" s="1239"/>
      <c r="U98" s="1239"/>
      <c r="V98" s="1240"/>
      <c r="Y98" s="1004" t="str">
        <f>BG98</f>
        <v>-</v>
      </c>
      <c r="Z98" s="1005"/>
      <c r="AA98" s="1005"/>
      <c r="AB98" s="1005"/>
      <c r="AC98" s="1005"/>
      <c r="AD98" s="1005"/>
      <c r="AE98" s="1006"/>
      <c r="AH98" s="1020" t="str">
        <f>IF(BL98="-",BL98,"-"&amp;BL98)</f>
        <v>-</v>
      </c>
      <c r="AI98" s="1021"/>
      <c r="AJ98" s="1021"/>
      <c r="AK98" s="1021"/>
      <c r="AL98" s="1021"/>
      <c r="AM98" s="1021"/>
      <c r="AN98" s="1022"/>
      <c r="AO98" s="986">
        <f>IF(ISERROR(1-(BC98/'&lt;参考&gt;●現在の業務の総コスト'!$G$30)),0,1-(BC98/'&lt;参考&gt;●現在の業務の総コスト'!$G$30))</f>
        <v>0</v>
      </c>
      <c r="AP98" s="987"/>
      <c r="AQ98" s="988"/>
      <c r="AR98" s="962">
        <f>-(BH98*基礎情報!$Q$4)+AH99</f>
        <v>0</v>
      </c>
      <c r="AS98" s="963"/>
      <c r="AT98" s="963"/>
      <c r="AU98" s="963"/>
      <c r="AV98" s="964"/>
      <c r="AX98" s="574">
        <f>'&lt;参考&gt;●現在の業務の総コスト'!$G30</f>
        <v>0</v>
      </c>
      <c r="AY98" s="326">
        <f t="shared" si="11"/>
        <v>0</v>
      </c>
      <c r="AZ98" s="326">
        <f t="shared" si="12"/>
        <v>0</v>
      </c>
      <c r="BA98" s="326">
        <f t="shared" si="19"/>
        <v>0</v>
      </c>
      <c r="BB98" s="573" t="str">
        <f t="shared" si="20"/>
        <v>-</v>
      </c>
      <c r="BC98" s="574">
        <f>(●計算表!$D$367*(1-$AB$83))+(●計算表!$P$367*$AB$83)</f>
        <v>0</v>
      </c>
      <c r="BD98" s="326">
        <f t="shared" si="13"/>
        <v>0</v>
      </c>
      <c r="BE98" s="326">
        <f t="shared" si="14"/>
        <v>0</v>
      </c>
      <c r="BF98" s="326">
        <f t="shared" si="21"/>
        <v>0</v>
      </c>
      <c r="BG98" s="573" t="str">
        <f t="shared" si="22"/>
        <v>-</v>
      </c>
      <c r="BH98" s="574">
        <f>'&lt;参考&gt;●現在の業務の総コスト'!$G$30-BC98</f>
        <v>0</v>
      </c>
      <c r="BI98" s="574">
        <f t="shared" si="15"/>
        <v>0</v>
      </c>
      <c r="BJ98" s="574">
        <f t="shared" si="16"/>
        <v>0</v>
      </c>
      <c r="BK98" s="574">
        <f t="shared" si="17"/>
        <v>0</v>
      </c>
      <c r="BL98" s="573" t="str">
        <f t="shared" si="18"/>
        <v>-</v>
      </c>
    </row>
    <row r="99" spans="2:70" ht="20.100000000000001" customHeight="1" thickBot="1">
      <c r="C99" s="1302"/>
      <c r="D99" s="1303"/>
      <c r="E99" s="1303"/>
      <c r="F99" s="1303"/>
      <c r="G99" s="1303"/>
      <c r="H99" s="1300"/>
      <c r="I99" s="1301"/>
      <c r="J99" s="1301"/>
      <c r="K99" s="1301"/>
      <c r="L99" s="1301"/>
      <c r="M99" s="1084" t="s">
        <v>154</v>
      </c>
      <c r="N99" s="1085"/>
      <c r="O99" s="1086"/>
      <c r="P99" s="1018">
        <f>'&lt;参考&gt;●現在の業務の総コスト'!$N$29</f>
        <v>0</v>
      </c>
      <c r="Q99" s="1018"/>
      <c r="R99" s="1018"/>
      <c r="S99" s="1018"/>
      <c r="T99" s="1018"/>
      <c r="U99" s="1018"/>
      <c r="V99" s="1019"/>
      <c r="Y99" s="1017">
        <f>(●計算表!$D$373*(1-$AB$83))+(●計算表!$P$373*$AB$83)</f>
        <v>0</v>
      </c>
      <c r="Z99" s="1018"/>
      <c r="AA99" s="1018"/>
      <c r="AB99" s="1018"/>
      <c r="AC99" s="1018"/>
      <c r="AD99" s="1018"/>
      <c r="AE99" s="1019"/>
      <c r="AH99" s="1029">
        <f>-(P99-Y99)</f>
        <v>0</v>
      </c>
      <c r="AI99" s="1030"/>
      <c r="AJ99" s="1030"/>
      <c r="AK99" s="1030"/>
      <c r="AL99" s="1030"/>
      <c r="AM99" s="1030"/>
      <c r="AN99" s="1031"/>
      <c r="AO99" s="977">
        <f>IF(ISERROR(1-(Y99/P99)),0,1-(Y99/P99))</f>
        <v>0</v>
      </c>
      <c r="AP99" s="978"/>
      <c r="AQ99" s="979"/>
      <c r="AR99" s="965"/>
      <c r="AS99" s="966"/>
      <c r="AT99" s="966"/>
      <c r="AU99" s="966"/>
      <c r="AV99" s="967"/>
      <c r="AY99" s="326">
        <f t="shared" si="11"/>
        <v>0</v>
      </c>
      <c r="AZ99" s="326">
        <f t="shared" si="12"/>
        <v>0</v>
      </c>
      <c r="BA99" s="326">
        <f t="shared" si="19"/>
        <v>0</v>
      </c>
      <c r="BB99" s="573" t="str">
        <f t="shared" si="20"/>
        <v>-</v>
      </c>
      <c r="BC99" s="574"/>
      <c r="BD99" s="326">
        <f t="shared" si="13"/>
        <v>0</v>
      </c>
      <c r="BE99" s="326">
        <f t="shared" si="14"/>
        <v>0</v>
      </c>
      <c r="BF99" s="326">
        <f t="shared" si="21"/>
        <v>0</v>
      </c>
      <c r="BG99" s="573" t="str">
        <f t="shared" si="22"/>
        <v>-</v>
      </c>
      <c r="BH99" s="574"/>
      <c r="BI99" s="574">
        <f t="shared" si="15"/>
        <v>0</v>
      </c>
      <c r="BJ99" s="574">
        <f t="shared" si="16"/>
        <v>0</v>
      </c>
      <c r="BK99" s="574">
        <f t="shared" si="17"/>
        <v>0</v>
      </c>
      <c r="BL99" s="573" t="str">
        <f t="shared" si="18"/>
        <v>-</v>
      </c>
    </row>
    <row r="100" spans="2:70" ht="20.100000000000001" customHeight="1">
      <c r="C100" s="697" t="s">
        <v>728</v>
      </c>
      <c r="D100" s="698"/>
      <c r="E100" s="698"/>
      <c r="F100" s="698"/>
      <c r="G100" s="698"/>
      <c r="H100" s="698"/>
      <c r="I100" s="698"/>
      <c r="J100" s="698"/>
      <c r="K100" s="698"/>
      <c r="L100" s="1282"/>
      <c r="M100" s="1270" t="s">
        <v>150</v>
      </c>
      <c r="N100" s="1271"/>
      <c r="O100" s="1272"/>
      <c r="P100" s="1239" t="str">
        <f>BB100</f>
        <v>3時間</v>
      </c>
      <c r="Q100" s="1239"/>
      <c r="R100" s="1239"/>
      <c r="S100" s="1239"/>
      <c r="T100" s="1239"/>
      <c r="U100" s="1239"/>
      <c r="V100" s="1240"/>
      <c r="Y100" s="1004" t="str">
        <f>BG100</f>
        <v>3時間</v>
      </c>
      <c r="Z100" s="1005"/>
      <c r="AA100" s="1005"/>
      <c r="AB100" s="1005"/>
      <c r="AC100" s="1005"/>
      <c r="AD100" s="1005"/>
      <c r="AE100" s="1006"/>
      <c r="AH100" s="1020" t="str">
        <f>IF(BL100="-",BL100,"-"&amp;BL100)</f>
        <v>-</v>
      </c>
      <c r="AI100" s="1021"/>
      <c r="AJ100" s="1021"/>
      <c r="AK100" s="1021"/>
      <c r="AL100" s="1021"/>
      <c r="AM100" s="1021"/>
      <c r="AN100" s="1022"/>
      <c r="AO100" s="986">
        <f>IF(ISERROR(1-(BC100/'&lt;参考&gt;●現在の業務の総コスト'!$G$32)),0,1-(BC100/'&lt;参考&gt;●現在の業務の総コスト'!$G$32))</f>
        <v>0</v>
      </c>
      <c r="AP100" s="987"/>
      <c r="AQ100" s="988"/>
      <c r="AR100" s="974">
        <f>-(BH100*基礎情報!$Q$4)+AH101</f>
        <v>-24000</v>
      </c>
      <c r="AS100" s="975"/>
      <c r="AT100" s="975"/>
      <c r="AU100" s="975"/>
      <c r="AV100" s="976"/>
      <c r="AX100" s="574">
        <f>'&lt;参考&gt;●現在の業務の総コスト'!$G32</f>
        <v>180</v>
      </c>
      <c r="AY100" s="326">
        <f t="shared" si="11"/>
        <v>0</v>
      </c>
      <c r="AZ100" s="326">
        <f t="shared" si="12"/>
        <v>3</v>
      </c>
      <c r="BA100" s="326">
        <f t="shared" si="19"/>
        <v>0</v>
      </c>
      <c r="BB100" s="573" t="str">
        <f t="shared" si="20"/>
        <v>3時間</v>
      </c>
      <c r="BC100" s="574">
        <f>(●計算表!$D$383*(1-$S$84))+(●計算表!$P$383*$S$84)</f>
        <v>180</v>
      </c>
      <c r="BD100" s="326">
        <f t="shared" si="13"/>
        <v>0</v>
      </c>
      <c r="BE100" s="326">
        <f t="shared" si="14"/>
        <v>3</v>
      </c>
      <c r="BF100" s="326">
        <f t="shared" si="21"/>
        <v>0</v>
      </c>
      <c r="BG100" s="573" t="str">
        <f t="shared" si="22"/>
        <v>3時間</v>
      </c>
      <c r="BH100" s="574">
        <f>'&lt;参考&gt;●現在の業務の総コスト'!$G$32-BC100</f>
        <v>0</v>
      </c>
      <c r="BI100" s="574">
        <f t="shared" si="15"/>
        <v>0</v>
      </c>
      <c r="BJ100" s="574">
        <f t="shared" si="16"/>
        <v>0</v>
      </c>
      <c r="BK100" s="574">
        <f t="shared" si="17"/>
        <v>0</v>
      </c>
      <c r="BL100" s="573" t="str">
        <f t="shared" si="18"/>
        <v>-</v>
      </c>
      <c r="BN100" s="340"/>
      <c r="BO100" s="340"/>
      <c r="BP100" s="340"/>
      <c r="BQ100" s="340"/>
      <c r="BR100" s="340"/>
    </row>
    <row r="101" spans="2:70" ht="20.100000000000001" customHeight="1" thickBot="1">
      <c r="C101" s="699"/>
      <c r="D101" s="700"/>
      <c r="E101" s="700"/>
      <c r="F101" s="700"/>
      <c r="G101" s="700"/>
      <c r="H101" s="700"/>
      <c r="I101" s="700"/>
      <c r="J101" s="700"/>
      <c r="K101" s="700"/>
      <c r="L101" s="1283"/>
      <c r="M101" s="1084" t="s">
        <v>154</v>
      </c>
      <c r="N101" s="1085"/>
      <c r="O101" s="1086"/>
      <c r="P101" s="1018">
        <f>'&lt;参考&gt;●現在の業務の総コスト'!$N$31</f>
        <v>120000</v>
      </c>
      <c r="Q101" s="1018"/>
      <c r="R101" s="1018"/>
      <c r="S101" s="1018"/>
      <c r="T101" s="1018"/>
      <c r="U101" s="1018"/>
      <c r="V101" s="1019"/>
      <c r="Y101" s="1017">
        <f>(●計算表!$D$391*(1-$S$83))+(●計算表!$P$391*$S$83)</f>
        <v>96000</v>
      </c>
      <c r="Z101" s="1018"/>
      <c r="AA101" s="1018"/>
      <c r="AB101" s="1018"/>
      <c r="AC101" s="1018"/>
      <c r="AD101" s="1018"/>
      <c r="AE101" s="1019"/>
      <c r="AH101" s="1029">
        <f>-(P101-Y101)</f>
        <v>-24000</v>
      </c>
      <c r="AI101" s="1030"/>
      <c r="AJ101" s="1030"/>
      <c r="AK101" s="1030"/>
      <c r="AL101" s="1030"/>
      <c r="AM101" s="1030"/>
      <c r="AN101" s="1031"/>
      <c r="AO101" s="977">
        <f>IF(ISERROR(1-(Y101/P101)),0,1-(Y101/P101))</f>
        <v>0.19999999999999996</v>
      </c>
      <c r="AP101" s="978"/>
      <c r="AQ101" s="979"/>
      <c r="AR101" s="965"/>
      <c r="AS101" s="966"/>
      <c r="AT101" s="966"/>
      <c r="AU101" s="966"/>
      <c r="AV101" s="967"/>
      <c r="BC101" s="574"/>
      <c r="BD101" s="326">
        <f t="shared" si="13"/>
        <v>0</v>
      </c>
      <c r="BE101" s="326">
        <f t="shared" si="14"/>
        <v>0</v>
      </c>
      <c r="BF101" s="326">
        <f t="shared" si="21"/>
        <v>0</v>
      </c>
      <c r="BG101" s="573" t="str">
        <f t="shared" si="22"/>
        <v>-</v>
      </c>
      <c r="BH101" s="574"/>
      <c r="BI101" s="574">
        <f t="shared" si="15"/>
        <v>0</v>
      </c>
      <c r="BJ101" s="574">
        <f t="shared" si="16"/>
        <v>0</v>
      </c>
      <c r="BK101" s="574">
        <f t="shared" si="17"/>
        <v>0</v>
      </c>
      <c r="BL101" s="573" t="str">
        <f t="shared" si="18"/>
        <v>-</v>
      </c>
    </row>
    <row r="102" spans="2:70" ht="20.100000000000001" customHeight="1">
      <c r="C102" s="989" t="s">
        <v>161</v>
      </c>
      <c r="D102" s="990"/>
      <c r="E102" s="990"/>
      <c r="F102" s="990"/>
      <c r="G102" s="990"/>
      <c r="H102" s="990"/>
      <c r="I102" s="990"/>
      <c r="J102" s="990"/>
      <c r="K102" s="990"/>
      <c r="L102" s="990"/>
      <c r="M102" s="990"/>
      <c r="N102" s="990"/>
      <c r="O102" s="991"/>
      <c r="P102" s="1297" t="str">
        <f>BB102</f>
        <v>315日3時間</v>
      </c>
      <c r="Q102" s="1298"/>
      <c r="R102" s="1298"/>
      <c r="S102" s="1298"/>
      <c r="T102" s="1298"/>
      <c r="U102" s="1298"/>
      <c r="V102" s="1299"/>
      <c r="Y102" s="1075" t="str">
        <f>BG102</f>
        <v>300日3時間</v>
      </c>
      <c r="Z102" s="1076"/>
      <c r="AA102" s="1076"/>
      <c r="AB102" s="1076"/>
      <c r="AC102" s="1076"/>
      <c r="AD102" s="1076"/>
      <c r="AE102" s="1077"/>
      <c r="AH102" s="1020" t="str">
        <f>IF(BL102="-",BL102,"-"&amp;BL102)</f>
        <v>-15日</v>
      </c>
      <c r="AI102" s="1021"/>
      <c r="AJ102" s="1021"/>
      <c r="AK102" s="1021"/>
      <c r="AL102" s="1021"/>
      <c r="AM102" s="1021"/>
      <c r="AN102" s="1022"/>
      <c r="AO102" s="986">
        <f>IF(ISERROR(1-(BC102/'&lt;参考&gt;●現在の業務の総コスト'!$G$33)),0,1-(BC102/'&lt;参考&gt;●現在の業務の総コスト'!$G$33))</f>
        <v>4.756242568370983E-2</v>
      </c>
      <c r="AP102" s="987"/>
      <c r="AQ102" s="988"/>
      <c r="AX102" s="574">
        <f>'&lt;参考&gt;●現在の業務の総コスト'!$G33</f>
        <v>151380</v>
      </c>
      <c r="AY102" s="326">
        <f>INT(AX102/$AY$6/60)</f>
        <v>315</v>
      </c>
      <c r="AZ102" s="326">
        <f>INT((AX102-AY102*60*$AY$6)/60)</f>
        <v>3</v>
      </c>
      <c r="BA102" s="326">
        <f>ROUND(MOD(AX102,60),0)</f>
        <v>0</v>
      </c>
      <c r="BB102" s="573" t="str">
        <f>IF(AX102=0,"-",IF(AY102=0,"",AY102&amp;"日")&amp;IF(AZ102=0,"",AZ102&amp;"時間")&amp;IF(BA102=0,"",BA102&amp;"分"))</f>
        <v>315日3時間</v>
      </c>
      <c r="BC102" s="574">
        <f>SUM(BC88:BC100)</f>
        <v>144180</v>
      </c>
      <c r="BD102" s="326">
        <f t="shared" si="13"/>
        <v>300</v>
      </c>
      <c r="BE102" s="326">
        <f t="shared" si="14"/>
        <v>3</v>
      </c>
      <c r="BF102" s="326">
        <f t="shared" si="21"/>
        <v>0</v>
      </c>
      <c r="BG102" s="573" t="str">
        <f t="shared" si="22"/>
        <v>300日3時間</v>
      </c>
      <c r="BH102" s="574">
        <f>'&lt;参考&gt;●現在の業務の総コスト'!$G$33-BC102</f>
        <v>7200</v>
      </c>
      <c r="BI102" s="574">
        <f t="shared" si="15"/>
        <v>15</v>
      </c>
      <c r="BJ102" s="574">
        <f t="shared" si="16"/>
        <v>0</v>
      </c>
      <c r="BK102" s="574">
        <f t="shared" si="17"/>
        <v>0</v>
      </c>
      <c r="BL102" s="573" t="str">
        <f t="shared" si="18"/>
        <v>15日</v>
      </c>
    </row>
    <row r="103" spans="2:70" ht="20.100000000000001" customHeight="1" thickBot="1">
      <c r="C103" s="1032" t="s">
        <v>162</v>
      </c>
      <c r="D103" s="1033"/>
      <c r="E103" s="1033"/>
      <c r="F103" s="1033"/>
      <c r="G103" s="1033"/>
      <c r="H103" s="1033"/>
      <c r="I103" s="1033"/>
      <c r="J103" s="1033"/>
      <c r="K103" s="1033"/>
      <c r="L103" s="1033"/>
      <c r="M103" s="1033"/>
      <c r="N103" s="1033"/>
      <c r="O103" s="1034"/>
      <c r="P103" s="1284">
        <f ca="1">SUMIF(M88:V101,"諸経費",P88:V101)</f>
        <v>428160</v>
      </c>
      <c r="Q103" s="1018"/>
      <c r="R103" s="1018"/>
      <c r="S103" s="1018"/>
      <c r="T103" s="1018"/>
      <c r="U103" s="1018"/>
      <c r="V103" s="1019"/>
      <c r="Y103" s="1017">
        <f ca="1">SUMIF(M88:AE101,"諸経費",Y88:AE101)</f>
        <v>342528</v>
      </c>
      <c r="Z103" s="1018"/>
      <c r="AA103" s="1018"/>
      <c r="AB103" s="1018"/>
      <c r="AC103" s="1018"/>
      <c r="AD103" s="1018"/>
      <c r="AE103" s="1019"/>
      <c r="AH103" s="1029">
        <f ca="1">-(P103-Y103)</f>
        <v>-85632</v>
      </c>
      <c r="AI103" s="1030"/>
      <c r="AJ103" s="1030"/>
      <c r="AK103" s="1030"/>
      <c r="AL103" s="1030"/>
      <c r="AM103" s="1030"/>
      <c r="AN103" s="1031"/>
      <c r="AO103" s="977">
        <f ca="1">IF(ISERROR(1-(Y103/P103)),0,1-(Y103/P103))</f>
        <v>0.19999999999999996</v>
      </c>
      <c r="AP103" s="978"/>
      <c r="AQ103" s="979"/>
      <c r="AY103" s="326"/>
      <c r="AZ103" s="326"/>
      <c r="BA103" s="326"/>
      <c r="BB103" s="573"/>
      <c r="BC103" s="574"/>
      <c r="BH103" s="574"/>
      <c r="BI103" s="574"/>
      <c r="BJ103" s="574"/>
      <c r="BK103" s="574"/>
      <c r="BL103" s="573"/>
    </row>
    <row r="104" spans="2:70" ht="18" customHeight="1">
      <c r="C104" s="1056" t="s">
        <v>164</v>
      </c>
      <c r="D104" s="1057"/>
      <c r="E104" s="1057"/>
      <c r="F104" s="1057"/>
      <c r="G104" s="1057"/>
      <c r="H104" s="1057"/>
      <c r="I104" s="1057"/>
      <c r="J104" s="1057"/>
      <c r="K104" s="1057"/>
      <c r="L104" s="1057"/>
      <c r="M104" s="1057"/>
      <c r="N104" s="1057"/>
      <c r="O104" s="1058"/>
      <c r="P104" s="1045">
        <f ca="1">($AX$25/60)*基礎情報!$J$4+P103</f>
        <v>7997160</v>
      </c>
      <c r="Q104" s="1012"/>
      <c r="R104" s="1012"/>
      <c r="S104" s="1012"/>
      <c r="T104" s="1012"/>
      <c r="U104" s="1012"/>
      <c r="V104" s="1013"/>
      <c r="Y104" s="1011">
        <f ca="1">(BC102/60)*基礎情報!$J$4+Y103</f>
        <v>7551528</v>
      </c>
      <c r="Z104" s="1012"/>
      <c r="AA104" s="1012"/>
      <c r="AB104" s="1012"/>
      <c r="AC104" s="1012"/>
      <c r="AD104" s="1012"/>
      <c r="AE104" s="1013"/>
      <c r="AH104" s="1288">
        <f ca="1">-(P104-Y104)</f>
        <v>-445632</v>
      </c>
      <c r="AI104" s="1289"/>
      <c r="AJ104" s="1289"/>
      <c r="AK104" s="1289"/>
      <c r="AL104" s="1289"/>
      <c r="AM104" s="1289"/>
      <c r="AN104" s="1290"/>
      <c r="AO104" s="980">
        <f ca="1">IF(ISERROR(1-(Y104/P104)),0,1-(Y104/P104))</f>
        <v>5.5723781942589645E-2</v>
      </c>
      <c r="AP104" s="981"/>
      <c r="AQ104" s="982"/>
      <c r="BC104" s="574"/>
      <c r="BH104" s="574"/>
      <c r="BI104" s="574"/>
      <c r="BJ104" s="574"/>
      <c r="BK104" s="574"/>
      <c r="BL104" s="573"/>
    </row>
    <row r="105" spans="2:70" ht="18" customHeight="1" thickBot="1">
      <c r="C105" s="1059"/>
      <c r="D105" s="1060"/>
      <c r="E105" s="1060"/>
      <c r="F105" s="1060"/>
      <c r="G105" s="1060"/>
      <c r="H105" s="1060"/>
      <c r="I105" s="1060"/>
      <c r="J105" s="1060"/>
      <c r="K105" s="1060"/>
      <c r="L105" s="1060"/>
      <c r="M105" s="1060"/>
      <c r="N105" s="1060"/>
      <c r="O105" s="1061"/>
      <c r="P105" s="1046"/>
      <c r="Q105" s="1015"/>
      <c r="R105" s="1015"/>
      <c r="S105" s="1015"/>
      <c r="T105" s="1015"/>
      <c r="U105" s="1015"/>
      <c r="V105" s="1016"/>
      <c r="Y105" s="1014"/>
      <c r="Z105" s="1015"/>
      <c r="AA105" s="1015"/>
      <c r="AB105" s="1015"/>
      <c r="AC105" s="1015"/>
      <c r="AD105" s="1015"/>
      <c r="AE105" s="1016"/>
      <c r="AH105" s="1291"/>
      <c r="AI105" s="1292"/>
      <c r="AJ105" s="1292"/>
      <c r="AK105" s="1292"/>
      <c r="AL105" s="1292"/>
      <c r="AM105" s="1292"/>
      <c r="AN105" s="1293"/>
      <c r="AO105" s="983"/>
      <c r="AP105" s="984"/>
      <c r="AQ105" s="985"/>
      <c r="BH105" s="574"/>
      <c r="BI105" s="574"/>
      <c r="BJ105" s="574"/>
      <c r="BK105" s="574"/>
      <c r="BL105" s="573"/>
    </row>
    <row r="106" spans="2:70" ht="14.25" thickBot="1">
      <c r="BH106" s="574"/>
      <c r="BI106" s="574"/>
      <c r="BJ106" s="574"/>
      <c r="BK106" s="574"/>
      <c r="BL106" s="573"/>
    </row>
    <row r="107" spans="2:70" ht="17.100000000000001" customHeight="1">
      <c r="B107" s="1276" t="s">
        <v>702</v>
      </c>
      <c r="C107" s="1277"/>
      <c r="D107" s="1277"/>
      <c r="E107" s="1277"/>
      <c r="F107" s="1277"/>
      <c r="G107" s="1277"/>
      <c r="H107" s="1278"/>
      <c r="I107" s="1062">
        <f>目標電子化率!$C$16</f>
        <v>3</v>
      </c>
      <c r="J107" s="1063"/>
      <c r="K107" s="1035" t="s">
        <v>802</v>
      </c>
      <c r="L107" s="1036"/>
      <c r="M107" s="1036"/>
      <c r="N107" s="1274" t="s">
        <v>400</v>
      </c>
      <c r="O107" s="1274"/>
      <c r="P107" s="1274"/>
      <c r="Q107" s="1274"/>
      <c r="R107" s="1274"/>
      <c r="S107" s="1312">
        <f>目標電子化率!$M$18</f>
        <v>0.4</v>
      </c>
      <c r="T107" s="1313"/>
      <c r="U107" s="1314"/>
      <c r="V107" s="1318" t="s">
        <v>401</v>
      </c>
      <c r="W107" s="1318"/>
      <c r="X107" s="1318"/>
      <c r="Y107" s="1318"/>
      <c r="Z107" s="1318"/>
      <c r="AA107" s="1319"/>
      <c r="AB107" s="1312">
        <f>目標電子化率!$M$19</f>
        <v>0</v>
      </c>
      <c r="AC107" s="1313"/>
      <c r="AD107" s="1314"/>
      <c r="AE107" s="417"/>
      <c r="AF107" s="417"/>
      <c r="AG107" s="417"/>
      <c r="AH107" s="416"/>
      <c r="AI107" s="417"/>
      <c r="AJ107" s="417"/>
      <c r="AK107" s="417"/>
      <c r="AL107" s="417"/>
      <c r="AM107" s="417"/>
      <c r="AN107" s="417"/>
      <c r="AO107" s="417"/>
      <c r="AP107" s="418"/>
      <c r="AQ107" s="418"/>
      <c r="AR107" s="418"/>
      <c r="AS107" s="419"/>
      <c r="BH107" s="574"/>
      <c r="BI107" s="574"/>
      <c r="BJ107" s="574"/>
      <c r="BK107" s="574"/>
      <c r="BL107" s="573"/>
    </row>
    <row r="108" spans="2:70" ht="17.100000000000001" customHeight="1" thickBot="1">
      <c r="B108" s="1279"/>
      <c r="C108" s="1280"/>
      <c r="D108" s="1280"/>
      <c r="E108" s="1280"/>
      <c r="F108" s="1280"/>
      <c r="G108" s="1280"/>
      <c r="H108" s="1281"/>
      <c r="I108" s="1064"/>
      <c r="J108" s="1065"/>
      <c r="K108" s="1037"/>
      <c r="L108" s="1038"/>
      <c r="M108" s="1038"/>
      <c r="N108" s="1275"/>
      <c r="O108" s="1275"/>
      <c r="P108" s="1275"/>
      <c r="Q108" s="1275"/>
      <c r="R108" s="1275"/>
      <c r="S108" s="1315"/>
      <c r="T108" s="1316"/>
      <c r="U108" s="1317"/>
      <c r="V108" s="1318"/>
      <c r="W108" s="1318"/>
      <c r="X108" s="1318"/>
      <c r="Y108" s="1318"/>
      <c r="Z108" s="1318"/>
      <c r="AA108" s="1319"/>
      <c r="AB108" s="1315"/>
      <c r="AC108" s="1316"/>
      <c r="AD108" s="1317"/>
      <c r="AE108" s="421"/>
      <c r="AF108" s="421"/>
      <c r="AG108" s="421"/>
      <c r="AH108" s="420"/>
      <c r="AI108" s="421"/>
      <c r="AJ108" s="421"/>
      <c r="AK108" s="421"/>
      <c r="AL108" s="421"/>
      <c r="AM108" s="421"/>
      <c r="AN108" s="421"/>
      <c r="AO108" s="421"/>
      <c r="AP108" s="422"/>
      <c r="AQ108" s="422"/>
      <c r="AR108" s="422"/>
      <c r="AS108" s="423"/>
      <c r="BH108" s="574"/>
      <c r="BI108" s="574"/>
      <c r="BJ108" s="574"/>
      <c r="BK108" s="574"/>
      <c r="BL108" s="573"/>
    </row>
    <row r="109" spans="2:70" ht="8.1" customHeight="1" thickBot="1">
      <c r="W109" s="340"/>
      <c r="X109" s="340"/>
      <c r="Y109" s="340"/>
      <c r="Z109" s="340"/>
      <c r="AA109" s="340"/>
      <c r="AB109" s="340"/>
      <c r="AC109" s="340"/>
      <c r="AD109" s="340"/>
      <c r="AE109" s="340"/>
      <c r="AF109" s="340"/>
      <c r="AG109" s="340"/>
      <c r="AH109" s="340"/>
      <c r="BH109" s="574"/>
      <c r="BI109" s="574"/>
      <c r="BJ109" s="574"/>
      <c r="BK109" s="574"/>
      <c r="BL109" s="573"/>
    </row>
    <row r="110" spans="2:70" ht="15.95" customHeight="1">
      <c r="C110" s="1047" t="s">
        <v>707</v>
      </c>
      <c r="D110" s="1048"/>
      <c r="E110" s="1048"/>
      <c r="F110" s="1048"/>
      <c r="G110" s="1049"/>
      <c r="H110" s="1047" t="s">
        <v>712</v>
      </c>
      <c r="I110" s="1048"/>
      <c r="J110" s="1048"/>
      <c r="K110" s="1048"/>
      <c r="L110" s="1049"/>
      <c r="M110" s="1047"/>
      <c r="N110" s="1048"/>
      <c r="O110" s="1048"/>
      <c r="P110" s="1047" t="s">
        <v>709</v>
      </c>
      <c r="Q110" s="1048"/>
      <c r="R110" s="1048"/>
      <c r="S110" s="1048"/>
      <c r="T110" s="1048"/>
      <c r="U110" s="1048"/>
      <c r="V110" s="1049"/>
      <c r="Y110" s="998" t="s">
        <v>708</v>
      </c>
      <c r="Z110" s="999"/>
      <c r="AA110" s="999"/>
      <c r="AB110" s="999"/>
      <c r="AC110" s="999"/>
      <c r="AD110" s="999"/>
      <c r="AE110" s="1000"/>
      <c r="AH110" s="1007" t="s">
        <v>170</v>
      </c>
      <c r="AI110" s="1007"/>
      <c r="AJ110" s="1007"/>
      <c r="AK110" s="1007"/>
      <c r="AL110" s="1007"/>
      <c r="AM110" s="1007"/>
      <c r="AN110" s="1007"/>
      <c r="AO110" s="1009" t="s">
        <v>171</v>
      </c>
      <c r="AP110" s="1009"/>
      <c r="AQ110" s="1009"/>
      <c r="BH110" s="574"/>
      <c r="BI110" s="574"/>
      <c r="BJ110" s="574"/>
      <c r="BK110" s="574"/>
      <c r="BL110" s="573"/>
    </row>
    <row r="111" spans="2:70" ht="15.95" customHeight="1" thickBot="1">
      <c r="C111" s="1050"/>
      <c r="D111" s="1051"/>
      <c r="E111" s="1051"/>
      <c r="F111" s="1051"/>
      <c r="G111" s="1052"/>
      <c r="H111" s="1050"/>
      <c r="I111" s="1051"/>
      <c r="J111" s="1051"/>
      <c r="K111" s="1051"/>
      <c r="L111" s="1052"/>
      <c r="M111" s="1050"/>
      <c r="N111" s="1051"/>
      <c r="O111" s="1051"/>
      <c r="P111" s="1050"/>
      <c r="Q111" s="1051"/>
      <c r="R111" s="1051"/>
      <c r="S111" s="1051"/>
      <c r="T111" s="1051"/>
      <c r="U111" s="1051"/>
      <c r="V111" s="1052"/>
      <c r="Y111" s="1001"/>
      <c r="Z111" s="1002"/>
      <c r="AA111" s="1002"/>
      <c r="AB111" s="1002"/>
      <c r="AC111" s="1002"/>
      <c r="AD111" s="1002"/>
      <c r="AE111" s="1003"/>
      <c r="AH111" s="1008"/>
      <c r="AI111" s="1008"/>
      <c r="AJ111" s="1008"/>
      <c r="AK111" s="1008"/>
      <c r="AL111" s="1008"/>
      <c r="AM111" s="1008"/>
      <c r="AN111" s="1008"/>
      <c r="AO111" s="1010"/>
      <c r="AP111" s="1010"/>
      <c r="AQ111" s="1010"/>
      <c r="BC111" s="326" t="s">
        <v>713</v>
      </c>
      <c r="BH111" s="574" t="s">
        <v>711</v>
      </c>
      <c r="BI111" s="574"/>
      <c r="BJ111" s="574"/>
      <c r="BK111" s="574"/>
      <c r="BL111" s="573"/>
    </row>
    <row r="112" spans="2:70" ht="20.100000000000001" customHeight="1">
      <c r="C112" s="1039" t="s">
        <v>149</v>
      </c>
      <c r="D112" s="1040"/>
      <c r="E112" s="1040"/>
      <c r="F112" s="1040"/>
      <c r="G112" s="1041"/>
      <c r="H112" s="1268">
        <f>'&lt;参考&gt;●現在の業務の総コスト'!$G$6</f>
        <v>7200</v>
      </c>
      <c r="I112" s="1269"/>
      <c r="J112" s="1269"/>
      <c r="K112" s="1269"/>
      <c r="L112" s="1296"/>
      <c r="M112" s="1270" t="s">
        <v>150</v>
      </c>
      <c r="N112" s="1271"/>
      <c r="O112" s="1272"/>
      <c r="P112" s="1273" t="str">
        <f>BB112</f>
        <v>-</v>
      </c>
      <c r="Q112" s="1239"/>
      <c r="R112" s="1239"/>
      <c r="S112" s="1239"/>
      <c r="T112" s="1239"/>
      <c r="U112" s="1239"/>
      <c r="V112" s="1240"/>
      <c r="Y112" s="1004" t="str">
        <f>BG112</f>
        <v>-</v>
      </c>
      <c r="Z112" s="1005"/>
      <c r="AA112" s="1005"/>
      <c r="AB112" s="1005"/>
      <c r="AC112" s="1005"/>
      <c r="AD112" s="1005"/>
      <c r="AE112" s="1006"/>
      <c r="AH112" s="1020" t="str">
        <f>IF(BL112="-",BL112,"-"&amp;BL112)</f>
        <v>-</v>
      </c>
      <c r="AI112" s="1021"/>
      <c r="AJ112" s="1021"/>
      <c r="AK112" s="1021"/>
      <c r="AL112" s="1021"/>
      <c r="AM112" s="1021"/>
      <c r="AN112" s="1022"/>
      <c r="AO112" s="986">
        <f>IF(ISERROR(1-(BC112/'&lt;参考&gt;●現在の業務の総コスト'!$G$20)),0,1-(BC112/'&lt;参考&gt;●現在の業務の総コスト'!$G$20))</f>
        <v>0</v>
      </c>
      <c r="AP112" s="987"/>
      <c r="AQ112" s="988"/>
      <c r="AR112" s="962">
        <f>-(BH112*基礎情報!$Q$4)+AH113</f>
        <v>0</v>
      </c>
      <c r="AS112" s="963"/>
      <c r="AT112" s="963"/>
      <c r="AU112" s="963"/>
      <c r="AV112" s="964"/>
      <c r="AX112" s="574">
        <f>'&lt;参考&gt;●現在の業務の総コスト'!$G20</f>
        <v>0</v>
      </c>
      <c r="AY112" s="326">
        <f>INT(AX112/$AY$6/60)</f>
        <v>0</v>
      </c>
      <c r="AZ112" s="326">
        <f>INT((AX112-AY112*60*$AY$6)/60)</f>
        <v>0</v>
      </c>
      <c r="BA112" s="326">
        <f>ROUND(MOD(AX112,60),0)</f>
        <v>0</v>
      </c>
      <c r="BB112" s="573" t="str">
        <f>IF(AX112=0,"-",IF(AY112=0,"",AY112&amp;"日")&amp;IF(AZ112=0,"",AZ112&amp;"時間")&amp;IF(BA112=0,"",BA112&amp;"分"))</f>
        <v>-</v>
      </c>
      <c r="BC112" s="82">
        <f>(●計算表!$D$68*(1-$S$107))+(●計算表!$P$68*$S$107)</f>
        <v>0</v>
      </c>
      <c r="BD112" s="326">
        <f t="shared" ref="BD112:BD126" si="23">INT(BC112/$AY$6/60)</f>
        <v>0</v>
      </c>
      <c r="BE112" s="326">
        <f t="shared" ref="BE112:BE126" si="24">INT((BC112-BD112*60*$AY$6)/60)</f>
        <v>0</v>
      </c>
      <c r="BF112" s="326">
        <f t="shared" si="21"/>
        <v>0</v>
      </c>
      <c r="BG112" s="573" t="str">
        <f t="shared" si="22"/>
        <v>-</v>
      </c>
      <c r="BH112" s="574">
        <f>'&lt;参考&gt;●現在の業務の総コスト'!$G$20-BC112</f>
        <v>0</v>
      </c>
      <c r="BI112" s="574">
        <f t="shared" ref="BI112:BI126" si="25">INT(BH112/$AY$6/60)</f>
        <v>0</v>
      </c>
      <c r="BJ112" s="574">
        <f t="shared" ref="BJ112:BJ126" si="26">INT((BH112-BI112*60*$AY$6)/60)</f>
        <v>0</v>
      </c>
      <c r="BK112" s="574">
        <f t="shared" ref="BK112:BK150" si="27">ROUND(MOD(BH112,60),0)</f>
        <v>0</v>
      </c>
      <c r="BL112" s="573" t="str">
        <f t="shared" ref="BL112:BL150" si="28">IF(BH112=0,"-",IF(BI112=0,"",BI112&amp;"日")&amp;IF(BJ112=0,"",BJ112&amp;"時間")&amp;IF(BK112=0,"",BK112&amp;"分"))</f>
        <v>-</v>
      </c>
    </row>
    <row r="113" spans="3:70" ht="20.100000000000001" customHeight="1">
      <c r="C113" s="1042"/>
      <c r="D113" s="1043"/>
      <c r="E113" s="1043"/>
      <c r="F113" s="1043"/>
      <c r="G113" s="1044"/>
      <c r="H113" s="1087"/>
      <c r="I113" s="1088"/>
      <c r="J113" s="1088"/>
      <c r="K113" s="1088"/>
      <c r="L113" s="1089"/>
      <c r="M113" s="1081" t="s">
        <v>154</v>
      </c>
      <c r="N113" s="1082"/>
      <c r="O113" s="1083"/>
      <c r="P113" s="1066">
        <f>'&lt;参考&gt;●現在の業務の総コスト'!$N$19</f>
        <v>0</v>
      </c>
      <c r="Q113" s="1067"/>
      <c r="R113" s="1067"/>
      <c r="S113" s="1067"/>
      <c r="T113" s="1067"/>
      <c r="U113" s="1067"/>
      <c r="V113" s="1068"/>
      <c r="Y113" s="1066">
        <f>(●計算表!$D$74*(1-$S$107))+(●計算表!$P$74*$S$107)</f>
        <v>0</v>
      </c>
      <c r="Z113" s="1067"/>
      <c r="AA113" s="1067"/>
      <c r="AB113" s="1067"/>
      <c r="AC113" s="1067"/>
      <c r="AD113" s="1067"/>
      <c r="AE113" s="1068"/>
      <c r="AH113" s="1053">
        <f>-(P113-Y113)</f>
        <v>0</v>
      </c>
      <c r="AI113" s="1054"/>
      <c r="AJ113" s="1054"/>
      <c r="AK113" s="1054"/>
      <c r="AL113" s="1054"/>
      <c r="AM113" s="1054"/>
      <c r="AN113" s="1055"/>
      <c r="AO113" s="977">
        <f>IF(ISERROR(1-(Y113/P113)),0,1-(Y113/P113))</f>
        <v>0</v>
      </c>
      <c r="AP113" s="978"/>
      <c r="AQ113" s="979"/>
      <c r="AR113" s="968"/>
      <c r="AS113" s="969"/>
      <c r="AT113" s="969"/>
      <c r="AU113" s="969"/>
      <c r="AV113" s="970"/>
      <c r="AY113" s="326">
        <f t="shared" ref="AY113:AY124" si="29">INT(AX113/$AY$6/60)</f>
        <v>0</v>
      </c>
      <c r="AZ113" s="326">
        <f t="shared" ref="AZ113:AZ124" si="30">INT((AX113-AY113*60*$AY$6)/60)</f>
        <v>0</v>
      </c>
      <c r="BA113" s="326">
        <f t="shared" ref="BA113:BA124" si="31">ROUND(MOD(AX113,60),0)</f>
        <v>0</v>
      </c>
      <c r="BB113" s="573" t="str">
        <f t="shared" ref="BB113:BB124" si="32">IF(AX113=0,"-",IF(AY113=0,"",AY113&amp;"日")&amp;IF(AZ113=0,"",AZ113&amp;"時間")&amp;IF(BA113=0,"",BA113&amp;"分"))</f>
        <v>-</v>
      </c>
      <c r="BC113" s="82"/>
      <c r="BD113" s="326">
        <f t="shared" si="23"/>
        <v>0</v>
      </c>
      <c r="BE113" s="326">
        <f t="shared" si="24"/>
        <v>0</v>
      </c>
      <c r="BF113" s="326">
        <f t="shared" si="21"/>
        <v>0</v>
      </c>
      <c r="BG113" s="573" t="str">
        <f t="shared" si="22"/>
        <v>-</v>
      </c>
      <c r="BH113" s="574"/>
      <c r="BI113" s="574">
        <f t="shared" si="25"/>
        <v>0</v>
      </c>
      <c r="BJ113" s="574">
        <f t="shared" si="26"/>
        <v>0</v>
      </c>
      <c r="BK113" s="574">
        <f t="shared" si="27"/>
        <v>0</v>
      </c>
      <c r="BL113" s="573" t="str">
        <f t="shared" si="28"/>
        <v>-</v>
      </c>
    </row>
    <row r="114" spans="3:70" ht="20.100000000000001" customHeight="1">
      <c r="C114" s="1042" t="s">
        <v>224</v>
      </c>
      <c r="D114" s="1043"/>
      <c r="E114" s="1043"/>
      <c r="F114" s="1043"/>
      <c r="G114" s="1044"/>
      <c r="H114" s="1087">
        <f>'&lt;参考&gt;●現在の業務の総コスト'!$G$6</f>
        <v>7200</v>
      </c>
      <c r="I114" s="1088"/>
      <c r="J114" s="1088"/>
      <c r="K114" s="1088"/>
      <c r="L114" s="1089"/>
      <c r="M114" s="1081" t="s">
        <v>150</v>
      </c>
      <c r="N114" s="1082"/>
      <c r="O114" s="1083"/>
      <c r="P114" s="1304" t="str">
        <f>BB114</f>
        <v>-</v>
      </c>
      <c r="Q114" s="1286"/>
      <c r="R114" s="1286"/>
      <c r="S114" s="1286"/>
      <c r="T114" s="1286"/>
      <c r="U114" s="1286"/>
      <c r="V114" s="1287"/>
      <c r="Y114" s="1078" t="str">
        <f>BG114</f>
        <v>-</v>
      </c>
      <c r="Z114" s="1079"/>
      <c r="AA114" s="1079"/>
      <c r="AB114" s="1079"/>
      <c r="AC114" s="1079"/>
      <c r="AD114" s="1079"/>
      <c r="AE114" s="1080"/>
      <c r="AH114" s="1026" t="str">
        <f>IF(BL114="-",BL114,"-"&amp;BL114)</f>
        <v>-</v>
      </c>
      <c r="AI114" s="1027"/>
      <c r="AJ114" s="1027"/>
      <c r="AK114" s="1027"/>
      <c r="AL114" s="1027"/>
      <c r="AM114" s="1027"/>
      <c r="AN114" s="1028"/>
      <c r="AO114" s="977">
        <f>IF(ISERROR(1-(BC114/'&lt;参考&gt;●現在の業務の総コスト'!$G$22)),0,1-(BC114/'&lt;参考&gt;●現在の業務の総コスト'!$G$22))</f>
        <v>0</v>
      </c>
      <c r="AP114" s="978"/>
      <c r="AQ114" s="979"/>
      <c r="AR114" s="971">
        <f>-(BH114*基礎情報!$Q$4)+AH115</f>
        <v>0</v>
      </c>
      <c r="AS114" s="972"/>
      <c r="AT114" s="972"/>
      <c r="AU114" s="972"/>
      <c r="AV114" s="973"/>
      <c r="AX114" s="574">
        <f>'&lt;参考&gt;●現在の業務の総コスト'!$G22</f>
        <v>0</v>
      </c>
      <c r="AY114" s="326">
        <f t="shared" si="29"/>
        <v>0</v>
      </c>
      <c r="AZ114" s="326">
        <f t="shared" si="30"/>
        <v>0</v>
      </c>
      <c r="BA114" s="326">
        <f t="shared" si="31"/>
        <v>0</v>
      </c>
      <c r="BB114" s="573" t="str">
        <f t="shared" si="32"/>
        <v>-</v>
      </c>
      <c r="BC114" s="82">
        <f>(●計算表!$D$134*(1-$S$107))+(●計算表!$P$134*$S$107)</f>
        <v>0</v>
      </c>
      <c r="BD114" s="326">
        <f t="shared" si="23"/>
        <v>0</v>
      </c>
      <c r="BE114" s="326">
        <f t="shared" si="24"/>
        <v>0</v>
      </c>
      <c r="BF114" s="326">
        <f t="shared" si="21"/>
        <v>0</v>
      </c>
      <c r="BG114" s="573" t="str">
        <f t="shared" si="22"/>
        <v>-</v>
      </c>
      <c r="BH114" s="574">
        <f>'&lt;参考&gt;●現在の業務の総コスト'!$G$22-BC114</f>
        <v>0</v>
      </c>
      <c r="BI114" s="574">
        <f t="shared" si="25"/>
        <v>0</v>
      </c>
      <c r="BJ114" s="574">
        <f t="shared" si="26"/>
        <v>0</v>
      </c>
      <c r="BK114" s="574">
        <f t="shared" si="27"/>
        <v>0</v>
      </c>
      <c r="BL114" s="573" t="str">
        <f t="shared" si="28"/>
        <v>-</v>
      </c>
    </row>
    <row r="115" spans="3:70" ht="20.100000000000001" customHeight="1" thickBot="1">
      <c r="C115" s="1265"/>
      <c r="D115" s="1266"/>
      <c r="E115" s="1266"/>
      <c r="F115" s="1266"/>
      <c r="G115" s="1267"/>
      <c r="H115" s="1090"/>
      <c r="I115" s="1091"/>
      <c r="J115" s="1091"/>
      <c r="K115" s="1091"/>
      <c r="L115" s="1092"/>
      <c r="M115" s="1084" t="s">
        <v>154</v>
      </c>
      <c r="N115" s="1085"/>
      <c r="O115" s="1086"/>
      <c r="P115" s="1017">
        <f>'&lt;参考&gt;●現在の業務の総コスト'!$N$21</f>
        <v>0</v>
      </c>
      <c r="Q115" s="1018"/>
      <c r="R115" s="1018"/>
      <c r="S115" s="1018"/>
      <c r="T115" s="1018"/>
      <c r="U115" s="1018"/>
      <c r="V115" s="1019"/>
      <c r="Y115" s="1017">
        <f>(●計算表!$D$140*(1-$S$107))+(●計算表!$P$140*$S$107)</f>
        <v>0</v>
      </c>
      <c r="Z115" s="1018"/>
      <c r="AA115" s="1018"/>
      <c r="AB115" s="1018"/>
      <c r="AC115" s="1018"/>
      <c r="AD115" s="1018"/>
      <c r="AE115" s="1019"/>
      <c r="AH115" s="1029">
        <f>-(P115-Y115)</f>
        <v>0</v>
      </c>
      <c r="AI115" s="1030"/>
      <c r="AJ115" s="1030"/>
      <c r="AK115" s="1030"/>
      <c r="AL115" s="1030"/>
      <c r="AM115" s="1030"/>
      <c r="AN115" s="1031"/>
      <c r="AO115" s="977">
        <f>IF(ISERROR(1-(Y115/P115)),0,1-(Y115/P115))</f>
        <v>0</v>
      </c>
      <c r="AP115" s="978"/>
      <c r="AQ115" s="979"/>
      <c r="AR115" s="965"/>
      <c r="AS115" s="966"/>
      <c r="AT115" s="966"/>
      <c r="AU115" s="966"/>
      <c r="AV115" s="967"/>
      <c r="AY115" s="326">
        <f t="shared" si="29"/>
        <v>0</v>
      </c>
      <c r="AZ115" s="326">
        <f t="shared" si="30"/>
        <v>0</v>
      </c>
      <c r="BA115" s="326">
        <f t="shared" si="31"/>
        <v>0</v>
      </c>
      <c r="BB115" s="573" t="str">
        <f t="shared" si="32"/>
        <v>-</v>
      </c>
      <c r="BC115" s="82"/>
      <c r="BD115" s="326">
        <f t="shared" si="23"/>
        <v>0</v>
      </c>
      <c r="BE115" s="326">
        <f t="shared" si="24"/>
        <v>0</v>
      </c>
      <c r="BF115" s="326">
        <f t="shared" si="21"/>
        <v>0</v>
      </c>
      <c r="BG115" s="573" t="str">
        <f t="shared" si="22"/>
        <v>-</v>
      </c>
      <c r="BH115" s="574"/>
      <c r="BI115" s="574">
        <f t="shared" si="25"/>
        <v>0</v>
      </c>
      <c r="BJ115" s="574">
        <f t="shared" si="26"/>
        <v>0</v>
      </c>
      <c r="BK115" s="574">
        <f t="shared" si="27"/>
        <v>0</v>
      </c>
      <c r="BL115" s="573" t="str">
        <f t="shared" si="28"/>
        <v>-</v>
      </c>
    </row>
    <row r="116" spans="3:70" ht="20.100000000000001" customHeight="1">
      <c r="C116" s="1039" t="s">
        <v>157</v>
      </c>
      <c r="D116" s="1040"/>
      <c r="E116" s="1040"/>
      <c r="F116" s="1040"/>
      <c r="G116" s="1041"/>
      <c r="H116" s="1268">
        <f>'&lt;参考&gt;●現在の業務の総コスト'!$G$5</f>
        <v>2400</v>
      </c>
      <c r="I116" s="1269"/>
      <c r="J116" s="1269"/>
      <c r="K116" s="1269"/>
      <c r="L116" s="1296"/>
      <c r="M116" s="1270" t="s">
        <v>150</v>
      </c>
      <c r="N116" s="1271"/>
      <c r="O116" s="1272"/>
      <c r="P116" s="1273" t="str">
        <f>BB116</f>
        <v>300日</v>
      </c>
      <c r="Q116" s="1239"/>
      <c r="R116" s="1239"/>
      <c r="S116" s="1239"/>
      <c r="T116" s="1239"/>
      <c r="U116" s="1239"/>
      <c r="V116" s="1240"/>
      <c r="Y116" s="1004" t="str">
        <f>BG116</f>
        <v>270日</v>
      </c>
      <c r="Z116" s="1005"/>
      <c r="AA116" s="1005"/>
      <c r="AB116" s="1005"/>
      <c r="AC116" s="1005"/>
      <c r="AD116" s="1005"/>
      <c r="AE116" s="1006"/>
      <c r="AH116" s="1020" t="str">
        <f>IF(BL116="-",BL116,"-"&amp;BL116)</f>
        <v>-30日</v>
      </c>
      <c r="AI116" s="1021"/>
      <c r="AJ116" s="1021"/>
      <c r="AK116" s="1021"/>
      <c r="AL116" s="1021"/>
      <c r="AM116" s="1021"/>
      <c r="AN116" s="1022"/>
      <c r="AO116" s="986">
        <f>IF(ISERROR(1-(BC116/'&lt;参考&gt;●現在の業務の総コスト'!$G$24)),0,1-(BC116/'&lt;参考&gt;●現在の業務の総コスト'!$G$24))</f>
        <v>9.9999999999999978E-2</v>
      </c>
      <c r="AP116" s="987"/>
      <c r="AQ116" s="988"/>
      <c r="AR116" s="962">
        <f>-(BH116*基礎情報!$Q$4)+AH117</f>
        <v>-835776</v>
      </c>
      <c r="AS116" s="963"/>
      <c r="AT116" s="963"/>
      <c r="AU116" s="963"/>
      <c r="AV116" s="964"/>
      <c r="AX116" s="574">
        <f>'&lt;参考&gt;●現在の業務の総コスト'!$G24</f>
        <v>144000</v>
      </c>
      <c r="AY116" s="326">
        <f t="shared" si="29"/>
        <v>300</v>
      </c>
      <c r="AZ116" s="326">
        <f t="shared" si="30"/>
        <v>0</v>
      </c>
      <c r="BA116" s="326">
        <f t="shared" si="31"/>
        <v>0</v>
      </c>
      <c r="BB116" s="573" t="str">
        <f t="shared" si="32"/>
        <v>300日</v>
      </c>
      <c r="BC116" s="82">
        <f>(●計算表!$D$194*(1-$S$107))+(●計算表!$P$194*$S$107)</f>
        <v>129600</v>
      </c>
      <c r="BD116" s="326">
        <f t="shared" si="23"/>
        <v>270</v>
      </c>
      <c r="BE116" s="326">
        <f t="shared" si="24"/>
        <v>0</v>
      </c>
      <c r="BF116" s="326">
        <f t="shared" si="21"/>
        <v>0</v>
      </c>
      <c r="BG116" s="573" t="str">
        <f t="shared" si="22"/>
        <v>270日</v>
      </c>
      <c r="BH116" s="574">
        <f>'&lt;参考&gt;●現在の業務の総コスト'!$G$24-BC116</f>
        <v>14400</v>
      </c>
      <c r="BI116" s="574">
        <f t="shared" si="25"/>
        <v>30</v>
      </c>
      <c r="BJ116" s="574">
        <f t="shared" si="26"/>
        <v>0</v>
      </c>
      <c r="BK116" s="574">
        <f t="shared" si="27"/>
        <v>0</v>
      </c>
      <c r="BL116" s="573" t="str">
        <f t="shared" si="28"/>
        <v>30日</v>
      </c>
    </row>
    <row r="117" spans="3:70" ht="20.100000000000001" customHeight="1">
      <c r="C117" s="1042"/>
      <c r="D117" s="1043"/>
      <c r="E117" s="1043"/>
      <c r="F117" s="1043"/>
      <c r="G117" s="1044"/>
      <c r="H117" s="1087"/>
      <c r="I117" s="1088"/>
      <c r="J117" s="1088"/>
      <c r="K117" s="1088"/>
      <c r="L117" s="1089"/>
      <c r="M117" s="1081" t="s">
        <v>154</v>
      </c>
      <c r="N117" s="1082"/>
      <c r="O117" s="1083"/>
      <c r="P117" s="1066">
        <f>'&lt;参考&gt;●現在の業務の総コスト'!$N$23</f>
        <v>289440</v>
      </c>
      <c r="Q117" s="1067"/>
      <c r="R117" s="1067"/>
      <c r="S117" s="1067"/>
      <c r="T117" s="1067"/>
      <c r="U117" s="1067"/>
      <c r="V117" s="1068"/>
      <c r="Y117" s="1066">
        <f>(●計算表!$D$200*(1-$S$107))+(●計算表!$P$200*$S$107)</f>
        <v>173664</v>
      </c>
      <c r="Z117" s="1067"/>
      <c r="AA117" s="1067"/>
      <c r="AB117" s="1067"/>
      <c r="AC117" s="1067"/>
      <c r="AD117" s="1067"/>
      <c r="AE117" s="1068"/>
      <c r="AH117" s="1053">
        <f>-(P117-Y117)</f>
        <v>-115776</v>
      </c>
      <c r="AI117" s="1054"/>
      <c r="AJ117" s="1054"/>
      <c r="AK117" s="1054"/>
      <c r="AL117" s="1054"/>
      <c r="AM117" s="1054"/>
      <c r="AN117" s="1055"/>
      <c r="AO117" s="977">
        <f>IF(ISERROR(1-(Y117/P117)),0,1-(Y117/P117))</f>
        <v>0.4</v>
      </c>
      <c r="AP117" s="978"/>
      <c r="AQ117" s="979"/>
      <c r="AR117" s="968"/>
      <c r="AS117" s="969"/>
      <c r="AT117" s="969"/>
      <c r="AU117" s="969"/>
      <c r="AV117" s="970"/>
      <c r="AY117" s="326">
        <f t="shared" si="29"/>
        <v>0</v>
      </c>
      <c r="AZ117" s="326">
        <f t="shared" si="30"/>
        <v>0</v>
      </c>
      <c r="BA117" s="326">
        <f t="shared" si="31"/>
        <v>0</v>
      </c>
      <c r="BB117" s="573" t="str">
        <f t="shared" si="32"/>
        <v>-</v>
      </c>
      <c r="BC117" s="82"/>
      <c r="BD117" s="326">
        <f t="shared" si="23"/>
        <v>0</v>
      </c>
      <c r="BE117" s="326">
        <f t="shared" si="24"/>
        <v>0</v>
      </c>
      <c r="BF117" s="326">
        <f t="shared" si="21"/>
        <v>0</v>
      </c>
      <c r="BG117" s="573" t="str">
        <f t="shared" si="22"/>
        <v>-</v>
      </c>
      <c r="BH117" s="574"/>
      <c r="BI117" s="574">
        <f t="shared" si="25"/>
        <v>0</v>
      </c>
      <c r="BJ117" s="574">
        <f t="shared" si="26"/>
        <v>0</v>
      </c>
      <c r="BK117" s="574">
        <f t="shared" si="27"/>
        <v>0</v>
      </c>
      <c r="BL117" s="573" t="str">
        <f t="shared" si="28"/>
        <v>-</v>
      </c>
    </row>
    <row r="118" spans="3:70" ht="20.100000000000001" customHeight="1">
      <c r="C118" s="1042" t="s">
        <v>158</v>
      </c>
      <c r="D118" s="1043"/>
      <c r="E118" s="1043"/>
      <c r="F118" s="1043"/>
      <c r="G118" s="1044"/>
      <c r="H118" s="1087">
        <f>'&lt;参考&gt;●現在の業務の総コスト'!$G$5</f>
        <v>2400</v>
      </c>
      <c r="I118" s="1088"/>
      <c r="J118" s="1088"/>
      <c r="K118" s="1088"/>
      <c r="L118" s="1089"/>
      <c r="M118" s="1081" t="s">
        <v>150</v>
      </c>
      <c r="N118" s="1082"/>
      <c r="O118" s="1083"/>
      <c r="P118" s="1304" t="str">
        <f>BB118</f>
        <v>15日</v>
      </c>
      <c r="Q118" s="1286"/>
      <c r="R118" s="1286"/>
      <c r="S118" s="1286"/>
      <c r="T118" s="1286"/>
      <c r="U118" s="1286"/>
      <c r="V118" s="1287"/>
      <c r="Y118" s="1078" t="str">
        <f>BG118</f>
        <v>15日</v>
      </c>
      <c r="Z118" s="1079"/>
      <c r="AA118" s="1079"/>
      <c r="AB118" s="1079"/>
      <c r="AC118" s="1079"/>
      <c r="AD118" s="1079"/>
      <c r="AE118" s="1080"/>
      <c r="AH118" s="1026" t="str">
        <f>IF(BL118="-",BL118,"-"&amp;BL118)</f>
        <v>-</v>
      </c>
      <c r="AI118" s="1027"/>
      <c r="AJ118" s="1027"/>
      <c r="AK118" s="1027"/>
      <c r="AL118" s="1027"/>
      <c r="AM118" s="1027"/>
      <c r="AN118" s="1028"/>
      <c r="AO118" s="977">
        <f>IF(ISERROR(1-(BC118/'&lt;参考&gt;●現在の業務の総コスト'!$G$26)),0,1-(BC118/'&lt;参考&gt;●現在の業務の総コスト'!$G$26))</f>
        <v>0</v>
      </c>
      <c r="AP118" s="978"/>
      <c r="AQ118" s="979"/>
      <c r="AR118" s="971">
        <f>-(BH118*基礎情報!$Q$4)+AH119</f>
        <v>-7488</v>
      </c>
      <c r="AS118" s="972"/>
      <c r="AT118" s="972"/>
      <c r="AU118" s="972"/>
      <c r="AV118" s="973"/>
      <c r="AX118" s="574">
        <f>'&lt;参考&gt;●現在の業務の総コスト'!$G26</f>
        <v>7200</v>
      </c>
      <c r="AY118" s="326">
        <f t="shared" si="29"/>
        <v>15</v>
      </c>
      <c r="AZ118" s="326">
        <f t="shared" si="30"/>
        <v>0</v>
      </c>
      <c r="BA118" s="326">
        <f t="shared" si="31"/>
        <v>0</v>
      </c>
      <c r="BB118" s="573" t="str">
        <f t="shared" si="32"/>
        <v>15日</v>
      </c>
      <c r="BC118" s="82">
        <f>(●計算表!$D$254*(1-$S$107))+(●計算表!$P$254*$S$107)</f>
        <v>7200</v>
      </c>
      <c r="BD118" s="326">
        <f t="shared" si="23"/>
        <v>15</v>
      </c>
      <c r="BE118" s="326">
        <f t="shared" si="24"/>
        <v>0</v>
      </c>
      <c r="BF118" s="326">
        <f t="shared" si="21"/>
        <v>0</v>
      </c>
      <c r="BG118" s="573" t="str">
        <f t="shared" si="22"/>
        <v>15日</v>
      </c>
      <c r="BH118" s="574">
        <f>'&lt;参考&gt;●現在の業務の総コスト'!$G$26-BC118</f>
        <v>0</v>
      </c>
      <c r="BI118" s="574">
        <f t="shared" si="25"/>
        <v>0</v>
      </c>
      <c r="BJ118" s="574">
        <f t="shared" si="26"/>
        <v>0</v>
      </c>
      <c r="BK118" s="574">
        <f t="shared" si="27"/>
        <v>0</v>
      </c>
      <c r="BL118" s="573" t="str">
        <f t="shared" si="28"/>
        <v>-</v>
      </c>
    </row>
    <row r="119" spans="3:70" ht="20.100000000000001" customHeight="1" thickBot="1">
      <c r="C119" s="1265"/>
      <c r="D119" s="1266"/>
      <c r="E119" s="1266"/>
      <c r="F119" s="1266"/>
      <c r="G119" s="1267"/>
      <c r="H119" s="1090"/>
      <c r="I119" s="1091"/>
      <c r="J119" s="1091"/>
      <c r="K119" s="1091"/>
      <c r="L119" s="1092"/>
      <c r="M119" s="1084" t="s">
        <v>154</v>
      </c>
      <c r="N119" s="1085"/>
      <c r="O119" s="1086"/>
      <c r="P119" s="1017">
        <f>'&lt;参考&gt;●現在の業務の総コスト'!$N$25</f>
        <v>18720</v>
      </c>
      <c r="Q119" s="1018"/>
      <c r="R119" s="1018"/>
      <c r="S119" s="1018"/>
      <c r="T119" s="1018"/>
      <c r="U119" s="1018"/>
      <c r="V119" s="1019"/>
      <c r="Y119" s="1017">
        <f>(●計算表!$D$260*(1-$S$107))+(●計算表!$P$260*$S$107)</f>
        <v>11232</v>
      </c>
      <c r="Z119" s="1018"/>
      <c r="AA119" s="1018"/>
      <c r="AB119" s="1018"/>
      <c r="AC119" s="1018"/>
      <c r="AD119" s="1018"/>
      <c r="AE119" s="1019"/>
      <c r="AH119" s="1029">
        <f>-(P119-Y119)</f>
        <v>-7488</v>
      </c>
      <c r="AI119" s="1030"/>
      <c r="AJ119" s="1030"/>
      <c r="AK119" s="1030"/>
      <c r="AL119" s="1030"/>
      <c r="AM119" s="1030"/>
      <c r="AN119" s="1031"/>
      <c r="AO119" s="977">
        <f>IF(ISERROR(1-(Y119/P119)),0,1-(Y119/P119))</f>
        <v>0.4</v>
      </c>
      <c r="AP119" s="978"/>
      <c r="AQ119" s="979"/>
      <c r="AR119" s="965"/>
      <c r="AS119" s="966"/>
      <c r="AT119" s="966"/>
      <c r="AU119" s="966"/>
      <c r="AV119" s="967"/>
      <c r="AY119" s="326">
        <f t="shared" si="29"/>
        <v>0</v>
      </c>
      <c r="AZ119" s="326">
        <f t="shared" si="30"/>
        <v>0</v>
      </c>
      <c r="BA119" s="326">
        <f t="shared" si="31"/>
        <v>0</v>
      </c>
      <c r="BB119" s="573" t="str">
        <f t="shared" si="32"/>
        <v>-</v>
      </c>
      <c r="BC119" s="82"/>
      <c r="BD119" s="326">
        <f t="shared" si="23"/>
        <v>0</v>
      </c>
      <c r="BE119" s="326">
        <f t="shared" si="24"/>
        <v>0</v>
      </c>
      <c r="BF119" s="326">
        <f t="shared" si="21"/>
        <v>0</v>
      </c>
      <c r="BG119" s="573" t="str">
        <f t="shared" si="22"/>
        <v>-</v>
      </c>
      <c r="BH119" s="574"/>
      <c r="BI119" s="574">
        <f t="shared" si="25"/>
        <v>0</v>
      </c>
      <c r="BJ119" s="574">
        <f t="shared" si="26"/>
        <v>0</v>
      </c>
      <c r="BK119" s="574">
        <f t="shared" si="27"/>
        <v>0</v>
      </c>
      <c r="BL119" s="573" t="str">
        <f t="shared" si="28"/>
        <v>-</v>
      </c>
    </row>
    <row r="120" spans="3:70" ht="20.100000000000001" customHeight="1">
      <c r="C120" s="697" t="s">
        <v>159</v>
      </c>
      <c r="D120" s="698"/>
      <c r="E120" s="698"/>
      <c r="F120" s="698"/>
      <c r="G120" s="698"/>
      <c r="H120" s="1268">
        <f>'&lt;参考&gt;●現在の業務の総コスト'!$O$6</f>
        <v>0</v>
      </c>
      <c r="I120" s="1269"/>
      <c r="J120" s="1269"/>
      <c r="K120" s="1269"/>
      <c r="L120" s="1269"/>
      <c r="M120" s="1270" t="s">
        <v>150</v>
      </c>
      <c r="N120" s="1271"/>
      <c r="O120" s="1272"/>
      <c r="P120" s="1239" t="str">
        <f>BB120</f>
        <v>-</v>
      </c>
      <c r="Q120" s="1239"/>
      <c r="R120" s="1239"/>
      <c r="S120" s="1239"/>
      <c r="T120" s="1239"/>
      <c r="U120" s="1239"/>
      <c r="V120" s="1240"/>
      <c r="Y120" s="1004" t="str">
        <f>BG120</f>
        <v>-</v>
      </c>
      <c r="Z120" s="1005"/>
      <c r="AA120" s="1005"/>
      <c r="AB120" s="1005"/>
      <c r="AC120" s="1005"/>
      <c r="AD120" s="1005"/>
      <c r="AE120" s="1006"/>
      <c r="AH120" s="1020" t="str">
        <f>IF(BL120="-",BL120,"-"&amp;BL120)</f>
        <v>-</v>
      </c>
      <c r="AI120" s="1021"/>
      <c r="AJ120" s="1021"/>
      <c r="AK120" s="1021"/>
      <c r="AL120" s="1021"/>
      <c r="AM120" s="1021"/>
      <c r="AN120" s="1022"/>
      <c r="AO120" s="986">
        <f>IF(ISERROR(1-(BC120/'&lt;参考&gt;●現在の業務の総コスト'!$G$28)),0,1-(BC120/'&lt;参考&gt;●現在の業務の総コスト'!$G$28))</f>
        <v>0</v>
      </c>
      <c r="AP120" s="987"/>
      <c r="AQ120" s="988"/>
      <c r="AR120" s="962">
        <f>-(BH120*基礎情報!$Q$4)+AH121</f>
        <v>0</v>
      </c>
      <c r="AS120" s="963"/>
      <c r="AT120" s="963"/>
      <c r="AU120" s="963"/>
      <c r="AV120" s="964"/>
      <c r="AX120" s="574">
        <f>'&lt;参考&gt;●現在の業務の総コスト'!$G28</f>
        <v>0</v>
      </c>
      <c r="AY120" s="326">
        <f t="shared" si="29"/>
        <v>0</v>
      </c>
      <c r="AZ120" s="326">
        <f t="shared" si="30"/>
        <v>0</v>
      </c>
      <c r="BA120" s="326">
        <f t="shared" si="31"/>
        <v>0</v>
      </c>
      <c r="BB120" s="573" t="str">
        <f t="shared" si="32"/>
        <v>-</v>
      </c>
      <c r="BC120" s="82">
        <f>(●計算表!$D$310*(1-$AB$107))+(●計算表!$P$310*$AB$107)</f>
        <v>0</v>
      </c>
      <c r="BD120" s="326">
        <f t="shared" si="23"/>
        <v>0</v>
      </c>
      <c r="BE120" s="326">
        <f t="shared" si="24"/>
        <v>0</v>
      </c>
      <c r="BF120" s="326">
        <f t="shared" si="21"/>
        <v>0</v>
      </c>
      <c r="BG120" s="573" t="str">
        <f t="shared" si="22"/>
        <v>-</v>
      </c>
      <c r="BH120" s="574">
        <f>'&lt;参考&gt;●現在の業務の総コスト'!$G$28-BC120</f>
        <v>0</v>
      </c>
      <c r="BI120" s="574">
        <f t="shared" si="25"/>
        <v>0</v>
      </c>
      <c r="BJ120" s="574">
        <f t="shared" si="26"/>
        <v>0</v>
      </c>
      <c r="BK120" s="574">
        <f t="shared" si="27"/>
        <v>0</v>
      </c>
      <c r="BL120" s="573" t="str">
        <f t="shared" si="28"/>
        <v>-</v>
      </c>
    </row>
    <row r="121" spans="3:70" ht="20.100000000000001" customHeight="1" thickBot="1">
      <c r="C121" s="699"/>
      <c r="D121" s="700"/>
      <c r="E121" s="700"/>
      <c r="F121" s="700"/>
      <c r="G121" s="700"/>
      <c r="H121" s="1090"/>
      <c r="I121" s="1091"/>
      <c r="J121" s="1091"/>
      <c r="K121" s="1091"/>
      <c r="L121" s="1091"/>
      <c r="M121" s="1084" t="s">
        <v>154</v>
      </c>
      <c r="N121" s="1085"/>
      <c r="O121" s="1086"/>
      <c r="P121" s="1018">
        <f>'&lt;参考&gt;●現在の業務の総コスト'!$N$27</f>
        <v>0</v>
      </c>
      <c r="Q121" s="1018"/>
      <c r="R121" s="1018"/>
      <c r="S121" s="1018"/>
      <c r="T121" s="1018"/>
      <c r="U121" s="1018"/>
      <c r="V121" s="1019"/>
      <c r="Y121" s="1017">
        <f>(●計算表!$D$316*(1-$AB$107))+(●計算表!$P$316*$AB$107)</f>
        <v>0</v>
      </c>
      <c r="Z121" s="1018"/>
      <c r="AA121" s="1018"/>
      <c r="AB121" s="1018"/>
      <c r="AC121" s="1018"/>
      <c r="AD121" s="1018"/>
      <c r="AE121" s="1019"/>
      <c r="AH121" s="1029">
        <f>-(P121-Y121)</f>
        <v>0</v>
      </c>
      <c r="AI121" s="1030"/>
      <c r="AJ121" s="1030"/>
      <c r="AK121" s="1030"/>
      <c r="AL121" s="1030"/>
      <c r="AM121" s="1030"/>
      <c r="AN121" s="1031"/>
      <c r="AO121" s="977">
        <f>IF(ISERROR(1-(Y121/P121)),0,1-(Y121/P121))</f>
        <v>0</v>
      </c>
      <c r="AP121" s="978"/>
      <c r="AQ121" s="979"/>
      <c r="AR121" s="965"/>
      <c r="AS121" s="966"/>
      <c r="AT121" s="966"/>
      <c r="AU121" s="966"/>
      <c r="AV121" s="967"/>
      <c r="AY121" s="326">
        <f t="shared" si="29"/>
        <v>0</v>
      </c>
      <c r="AZ121" s="326">
        <f t="shared" si="30"/>
        <v>0</v>
      </c>
      <c r="BA121" s="326">
        <f t="shared" si="31"/>
        <v>0</v>
      </c>
      <c r="BB121" s="573" t="str">
        <f t="shared" si="32"/>
        <v>-</v>
      </c>
      <c r="BC121" s="82"/>
      <c r="BD121" s="326">
        <f t="shared" si="23"/>
        <v>0</v>
      </c>
      <c r="BE121" s="326">
        <f t="shared" si="24"/>
        <v>0</v>
      </c>
      <c r="BF121" s="326">
        <f t="shared" si="21"/>
        <v>0</v>
      </c>
      <c r="BG121" s="573" t="str">
        <f t="shared" si="22"/>
        <v>-</v>
      </c>
      <c r="BH121" s="574"/>
      <c r="BI121" s="574">
        <f t="shared" si="25"/>
        <v>0</v>
      </c>
      <c r="BJ121" s="574">
        <f t="shared" si="26"/>
        <v>0</v>
      </c>
      <c r="BK121" s="574">
        <f t="shared" si="27"/>
        <v>0</v>
      </c>
      <c r="BL121" s="573" t="str">
        <f t="shared" si="28"/>
        <v>-</v>
      </c>
    </row>
    <row r="122" spans="3:70" ht="20.100000000000001" customHeight="1">
      <c r="C122" s="697" t="s">
        <v>160</v>
      </c>
      <c r="D122" s="698"/>
      <c r="E122" s="698"/>
      <c r="F122" s="698"/>
      <c r="G122" s="698"/>
      <c r="H122" s="1268">
        <f>'&lt;参考&gt;●現在の業務の総コスト'!$O$6</f>
        <v>0</v>
      </c>
      <c r="I122" s="1269"/>
      <c r="J122" s="1269"/>
      <c r="K122" s="1269"/>
      <c r="L122" s="1269"/>
      <c r="M122" s="1270" t="s">
        <v>150</v>
      </c>
      <c r="N122" s="1271"/>
      <c r="O122" s="1272"/>
      <c r="P122" s="1239" t="str">
        <f>BB122</f>
        <v>-</v>
      </c>
      <c r="Q122" s="1239"/>
      <c r="R122" s="1239"/>
      <c r="S122" s="1239"/>
      <c r="T122" s="1239"/>
      <c r="U122" s="1239"/>
      <c r="V122" s="1240"/>
      <c r="Y122" s="1004" t="str">
        <f>BG122</f>
        <v>-</v>
      </c>
      <c r="Z122" s="1005"/>
      <c r="AA122" s="1005"/>
      <c r="AB122" s="1005"/>
      <c r="AC122" s="1005"/>
      <c r="AD122" s="1005"/>
      <c r="AE122" s="1006"/>
      <c r="AH122" s="1020" t="str">
        <f>IF(BL122="-",BL122,"-"&amp;BL122)</f>
        <v>-</v>
      </c>
      <c r="AI122" s="1021"/>
      <c r="AJ122" s="1021"/>
      <c r="AK122" s="1021"/>
      <c r="AL122" s="1021"/>
      <c r="AM122" s="1021"/>
      <c r="AN122" s="1022"/>
      <c r="AO122" s="986">
        <f>IF(ISERROR(1-(BC122/'&lt;参考&gt;●現在の業務の総コスト'!$G$30)),0,1-(BC122/'&lt;参考&gt;●現在の業務の総コスト'!$G$30))</f>
        <v>0</v>
      </c>
      <c r="AP122" s="987"/>
      <c r="AQ122" s="988"/>
      <c r="AR122" s="962">
        <f>-(BH122*基礎情報!$Q$4)+AH123</f>
        <v>0</v>
      </c>
      <c r="AS122" s="963"/>
      <c r="AT122" s="963"/>
      <c r="AU122" s="963"/>
      <c r="AV122" s="964"/>
      <c r="AX122" s="574">
        <f>'&lt;参考&gt;●現在の業務の総コスト'!$G30</f>
        <v>0</v>
      </c>
      <c r="AY122" s="326">
        <f t="shared" si="29"/>
        <v>0</v>
      </c>
      <c r="AZ122" s="326">
        <f t="shared" si="30"/>
        <v>0</v>
      </c>
      <c r="BA122" s="326">
        <f t="shared" si="31"/>
        <v>0</v>
      </c>
      <c r="BB122" s="573" t="str">
        <f t="shared" si="32"/>
        <v>-</v>
      </c>
      <c r="BC122" s="82">
        <f>(●計算表!$D$367*(1-$AB$83))+(●計算表!$P$367*$AB$83)</f>
        <v>0</v>
      </c>
      <c r="BD122" s="326">
        <f t="shared" si="23"/>
        <v>0</v>
      </c>
      <c r="BE122" s="326">
        <f t="shared" si="24"/>
        <v>0</v>
      </c>
      <c r="BF122" s="326">
        <f t="shared" si="21"/>
        <v>0</v>
      </c>
      <c r="BG122" s="573" t="str">
        <f t="shared" si="22"/>
        <v>-</v>
      </c>
      <c r="BH122" s="574">
        <f>'&lt;参考&gt;●現在の業務の総コスト'!$G$30-BC122</f>
        <v>0</v>
      </c>
      <c r="BI122" s="574">
        <f t="shared" si="25"/>
        <v>0</v>
      </c>
      <c r="BJ122" s="574">
        <f t="shared" si="26"/>
        <v>0</v>
      </c>
      <c r="BK122" s="574">
        <f t="shared" si="27"/>
        <v>0</v>
      </c>
      <c r="BL122" s="573" t="str">
        <f t="shared" si="28"/>
        <v>-</v>
      </c>
    </row>
    <row r="123" spans="3:70" ht="20.100000000000001" customHeight="1" thickBot="1">
      <c r="C123" s="1302"/>
      <c r="D123" s="1303"/>
      <c r="E123" s="1303"/>
      <c r="F123" s="1303"/>
      <c r="G123" s="1303"/>
      <c r="H123" s="1300"/>
      <c r="I123" s="1301"/>
      <c r="J123" s="1301"/>
      <c r="K123" s="1301"/>
      <c r="L123" s="1301"/>
      <c r="M123" s="1084" t="s">
        <v>154</v>
      </c>
      <c r="N123" s="1085"/>
      <c r="O123" s="1086"/>
      <c r="P123" s="1305">
        <f>'&lt;参考&gt;●現在の業務の総コスト'!$N$29</f>
        <v>0</v>
      </c>
      <c r="Q123" s="1305"/>
      <c r="R123" s="1305"/>
      <c r="S123" s="1305"/>
      <c r="T123" s="1305"/>
      <c r="U123" s="1305"/>
      <c r="V123" s="1306"/>
      <c r="Y123" s="1017">
        <f>(●計算表!$D$373*(1-$AB$107))+(●計算表!$P$373*$AB$107)</f>
        <v>0</v>
      </c>
      <c r="Z123" s="1018"/>
      <c r="AA123" s="1018"/>
      <c r="AB123" s="1018"/>
      <c r="AC123" s="1018"/>
      <c r="AD123" s="1018"/>
      <c r="AE123" s="1019"/>
      <c r="AH123" s="1029">
        <f>-(P123-Y123)</f>
        <v>0</v>
      </c>
      <c r="AI123" s="1030"/>
      <c r="AJ123" s="1030"/>
      <c r="AK123" s="1030"/>
      <c r="AL123" s="1030"/>
      <c r="AM123" s="1030"/>
      <c r="AN123" s="1031"/>
      <c r="AO123" s="977">
        <f>IF(ISERROR(1-(Y123/P123)),0,1-(Y123/P123))</f>
        <v>0</v>
      </c>
      <c r="AP123" s="978"/>
      <c r="AQ123" s="979"/>
      <c r="AR123" s="965"/>
      <c r="AS123" s="966"/>
      <c r="AT123" s="966"/>
      <c r="AU123" s="966"/>
      <c r="AV123" s="967"/>
      <c r="AY123" s="326">
        <f t="shared" si="29"/>
        <v>0</v>
      </c>
      <c r="AZ123" s="326">
        <f t="shared" si="30"/>
        <v>0</v>
      </c>
      <c r="BA123" s="326">
        <f t="shared" si="31"/>
        <v>0</v>
      </c>
      <c r="BB123" s="573" t="str">
        <f t="shared" si="32"/>
        <v>-</v>
      </c>
      <c r="BC123" s="82"/>
      <c r="BD123" s="326">
        <f t="shared" si="23"/>
        <v>0</v>
      </c>
      <c r="BE123" s="326">
        <f t="shared" si="24"/>
        <v>0</v>
      </c>
      <c r="BF123" s="326">
        <f t="shared" si="21"/>
        <v>0</v>
      </c>
      <c r="BG123" s="573" t="str">
        <f t="shared" si="22"/>
        <v>-</v>
      </c>
      <c r="BH123" s="574"/>
      <c r="BI123" s="574">
        <f t="shared" si="25"/>
        <v>0</v>
      </c>
      <c r="BJ123" s="574">
        <f t="shared" si="26"/>
        <v>0</v>
      </c>
      <c r="BK123" s="574">
        <f t="shared" si="27"/>
        <v>0</v>
      </c>
      <c r="BL123" s="573" t="str">
        <f t="shared" si="28"/>
        <v>-</v>
      </c>
    </row>
    <row r="124" spans="3:70" ht="20.100000000000001" customHeight="1">
      <c r="C124" s="697" t="s">
        <v>728</v>
      </c>
      <c r="D124" s="698"/>
      <c r="E124" s="698"/>
      <c r="F124" s="698"/>
      <c r="G124" s="698"/>
      <c r="H124" s="698"/>
      <c r="I124" s="698"/>
      <c r="J124" s="698"/>
      <c r="K124" s="698"/>
      <c r="L124" s="1282"/>
      <c r="M124" s="1270" t="s">
        <v>150</v>
      </c>
      <c r="N124" s="1271"/>
      <c r="O124" s="1272"/>
      <c r="P124" s="1239" t="str">
        <f>BB124</f>
        <v>3時間</v>
      </c>
      <c r="Q124" s="1239"/>
      <c r="R124" s="1239"/>
      <c r="S124" s="1239"/>
      <c r="T124" s="1239"/>
      <c r="U124" s="1239"/>
      <c r="V124" s="1240"/>
      <c r="Y124" s="1004" t="str">
        <f>BG124</f>
        <v>3時間</v>
      </c>
      <c r="Z124" s="1005"/>
      <c r="AA124" s="1005"/>
      <c r="AB124" s="1005"/>
      <c r="AC124" s="1005"/>
      <c r="AD124" s="1005"/>
      <c r="AE124" s="1006"/>
      <c r="AH124" s="1020" t="str">
        <f>IF(BL124="-",BL124,"-"&amp;BL124)</f>
        <v>-</v>
      </c>
      <c r="AI124" s="1021"/>
      <c r="AJ124" s="1021"/>
      <c r="AK124" s="1021"/>
      <c r="AL124" s="1021"/>
      <c r="AM124" s="1021"/>
      <c r="AN124" s="1022"/>
      <c r="AO124" s="986">
        <f>IF(ISERROR(1-(BC124/'&lt;参考&gt;●現在の業務の総コスト'!$G$32)),0,1-(BC124/'&lt;参考&gt;●現在の業務の総コスト'!$G$32))</f>
        <v>0</v>
      </c>
      <c r="AP124" s="987"/>
      <c r="AQ124" s="988"/>
      <c r="AR124" s="962">
        <f>-(BH124*基礎情報!$Q$4)+AH125</f>
        <v>-48000</v>
      </c>
      <c r="AS124" s="963"/>
      <c r="AT124" s="963"/>
      <c r="AU124" s="963"/>
      <c r="AV124" s="964"/>
      <c r="AX124" s="574">
        <f>'&lt;参考&gt;●現在の業務の総コスト'!$G32</f>
        <v>180</v>
      </c>
      <c r="AY124" s="326">
        <f t="shared" si="29"/>
        <v>0</v>
      </c>
      <c r="AZ124" s="326">
        <f t="shared" si="30"/>
        <v>3</v>
      </c>
      <c r="BA124" s="326">
        <f t="shared" si="31"/>
        <v>0</v>
      </c>
      <c r="BB124" s="573" t="str">
        <f t="shared" si="32"/>
        <v>3時間</v>
      </c>
      <c r="BC124" s="82">
        <f>(●計算表!$D$383*(1-$S$84))+(●計算表!$P$383*$S$84)</f>
        <v>180</v>
      </c>
      <c r="BD124" s="326">
        <f t="shared" si="23"/>
        <v>0</v>
      </c>
      <c r="BE124" s="326">
        <f t="shared" si="24"/>
        <v>3</v>
      </c>
      <c r="BF124" s="326">
        <f t="shared" si="21"/>
        <v>0</v>
      </c>
      <c r="BG124" s="573" t="str">
        <f t="shared" si="22"/>
        <v>3時間</v>
      </c>
      <c r="BH124" s="574">
        <f>'&lt;参考&gt;●現在の業務の総コスト'!$G$32-BC124</f>
        <v>0</v>
      </c>
      <c r="BI124" s="574">
        <f t="shared" si="25"/>
        <v>0</v>
      </c>
      <c r="BJ124" s="574">
        <f t="shared" si="26"/>
        <v>0</v>
      </c>
      <c r="BK124" s="574">
        <f t="shared" si="27"/>
        <v>0</v>
      </c>
      <c r="BL124" s="573" t="str">
        <f t="shared" si="28"/>
        <v>-</v>
      </c>
      <c r="BN124" s="340"/>
      <c r="BO124" s="340"/>
      <c r="BP124" s="340"/>
      <c r="BQ124" s="340"/>
      <c r="BR124" s="340"/>
    </row>
    <row r="125" spans="3:70" ht="20.100000000000001" customHeight="1" thickBot="1">
      <c r="C125" s="699"/>
      <c r="D125" s="700"/>
      <c r="E125" s="700"/>
      <c r="F125" s="700"/>
      <c r="G125" s="700"/>
      <c r="H125" s="700"/>
      <c r="I125" s="700"/>
      <c r="J125" s="700"/>
      <c r="K125" s="700"/>
      <c r="L125" s="1283"/>
      <c r="M125" s="1084" t="s">
        <v>154</v>
      </c>
      <c r="N125" s="1085"/>
      <c r="O125" s="1086"/>
      <c r="P125" s="1018">
        <f>'&lt;参考&gt;●現在の業務の総コスト'!$N$31</f>
        <v>120000</v>
      </c>
      <c r="Q125" s="1018"/>
      <c r="R125" s="1018"/>
      <c r="S125" s="1018"/>
      <c r="T125" s="1018"/>
      <c r="U125" s="1018"/>
      <c r="V125" s="1019"/>
      <c r="Y125" s="1017">
        <f>(●計算表!$D$391*(1-$S$107))+(●計算表!$P$391*$S$107)</f>
        <v>72000</v>
      </c>
      <c r="Z125" s="1018"/>
      <c r="AA125" s="1018"/>
      <c r="AB125" s="1018"/>
      <c r="AC125" s="1018"/>
      <c r="AD125" s="1018"/>
      <c r="AE125" s="1019"/>
      <c r="AH125" s="1029">
        <f>-(P125-Y125)</f>
        <v>-48000</v>
      </c>
      <c r="AI125" s="1030"/>
      <c r="AJ125" s="1030"/>
      <c r="AK125" s="1030"/>
      <c r="AL125" s="1030"/>
      <c r="AM125" s="1030"/>
      <c r="AN125" s="1031"/>
      <c r="AO125" s="977">
        <f>IF(ISERROR(1-(Y125/P125)),0,1-(Y125/P125))</f>
        <v>0.4</v>
      </c>
      <c r="AP125" s="978"/>
      <c r="AQ125" s="979"/>
      <c r="AR125" s="965"/>
      <c r="AS125" s="966"/>
      <c r="AT125" s="966"/>
      <c r="AU125" s="966"/>
      <c r="AV125" s="967"/>
      <c r="BC125" s="82"/>
      <c r="BD125" s="326">
        <f t="shared" si="23"/>
        <v>0</v>
      </c>
      <c r="BE125" s="326">
        <f t="shared" si="24"/>
        <v>0</v>
      </c>
      <c r="BF125" s="326">
        <f t="shared" si="21"/>
        <v>0</v>
      </c>
      <c r="BG125" s="573" t="str">
        <f t="shared" si="22"/>
        <v>-</v>
      </c>
      <c r="BH125" s="574"/>
      <c r="BI125" s="574">
        <f t="shared" si="25"/>
        <v>0</v>
      </c>
      <c r="BJ125" s="574">
        <f t="shared" si="26"/>
        <v>0</v>
      </c>
      <c r="BK125" s="574">
        <f t="shared" si="27"/>
        <v>0</v>
      </c>
      <c r="BL125" s="573" t="str">
        <f t="shared" si="28"/>
        <v>-</v>
      </c>
    </row>
    <row r="126" spans="3:70" ht="20.100000000000001" customHeight="1">
      <c r="C126" s="989" t="s">
        <v>161</v>
      </c>
      <c r="D126" s="990"/>
      <c r="E126" s="990"/>
      <c r="F126" s="990"/>
      <c r="G126" s="990"/>
      <c r="H126" s="990"/>
      <c r="I126" s="990"/>
      <c r="J126" s="990"/>
      <c r="K126" s="990"/>
      <c r="L126" s="990"/>
      <c r="M126" s="990"/>
      <c r="N126" s="990"/>
      <c r="O126" s="991"/>
      <c r="P126" s="1239" t="str">
        <f>BB126</f>
        <v>315日3時間</v>
      </c>
      <c r="Q126" s="1239"/>
      <c r="R126" s="1239"/>
      <c r="S126" s="1239"/>
      <c r="T126" s="1239"/>
      <c r="U126" s="1239"/>
      <c r="V126" s="1240"/>
      <c r="Y126" s="1004" t="str">
        <f>BG126</f>
        <v>285日3時間</v>
      </c>
      <c r="Z126" s="1005"/>
      <c r="AA126" s="1005"/>
      <c r="AB126" s="1005"/>
      <c r="AC126" s="1005"/>
      <c r="AD126" s="1005"/>
      <c r="AE126" s="1006"/>
      <c r="AH126" s="1020" t="str">
        <f>IF(BL126="-",BL126,"-"&amp;BL126)</f>
        <v>-30日</v>
      </c>
      <c r="AI126" s="1021"/>
      <c r="AJ126" s="1021"/>
      <c r="AK126" s="1021"/>
      <c r="AL126" s="1021"/>
      <c r="AM126" s="1021"/>
      <c r="AN126" s="1022"/>
      <c r="AO126" s="986">
        <f>IF(ISERROR(1-(BC126/'&lt;参考&gt;●現在の業務の総コスト'!$G$33)),0,1-(BC126/'&lt;参考&gt;●現在の業務の総コスト'!$G$33))</f>
        <v>9.5124851367419772E-2</v>
      </c>
      <c r="AP126" s="987"/>
      <c r="AQ126" s="988"/>
      <c r="AR126" s="484"/>
      <c r="AS126" s="485"/>
      <c r="AT126" s="485"/>
      <c r="AU126" s="485"/>
      <c r="AV126" s="485"/>
      <c r="AX126" s="574">
        <f>'&lt;参考&gt;●現在の業務の総コスト'!$G33</f>
        <v>151380</v>
      </c>
      <c r="AY126" s="326">
        <f>INT(AX126/$AY$6/60)</f>
        <v>315</v>
      </c>
      <c r="AZ126" s="326">
        <f>INT((AX126-AY126*60*$AY$6)/60)</f>
        <v>3</v>
      </c>
      <c r="BA126" s="326">
        <f>ROUND(MOD(AX126,60),0)</f>
        <v>0</v>
      </c>
      <c r="BB126" s="573" t="str">
        <f>IF(AX126=0,"-",IF(AY126=0,"",AY126&amp;"日")&amp;IF(AZ126=0,"",AZ126&amp;"時間")&amp;IF(BA126=0,"",BA126&amp;"分"))</f>
        <v>315日3時間</v>
      </c>
      <c r="BC126" s="82">
        <f>SUM(BC112:BC124)</f>
        <v>136980</v>
      </c>
      <c r="BD126" s="326">
        <f t="shared" si="23"/>
        <v>285</v>
      </c>
      <c r="BE126" s="326">
        <f t="shared" si="24"/>
        <v>3</v>
      </c>
      <c r="BF126" s="326">
        <f t="shared" si="21"/>
        <v>0</v>
      </c>
      <c r="BG126" s="573" t="str">
        <f t="shared" si="22"/>
        <v>285日3時間</v>
      </c>
      <c r="BH126" s="574">
        <f>'&lt;参考&gt;●現在の業務の総コスト'!$G$33-BC126</f>
        <v>14400</v>
      </c>
      <c r="BI126" s="574">
        <f t="shared" si="25"/>
        <v>30</v>
      </c>
      <c r="BJ126" s="574">
        <f t="shared" si="26"/>
        <v>0</v>
      </c>
      <c r="BK126" s="574">
        <f t="shared" si="27"/>
        <v>0</v>
      </c>
      <c r="BL126" s="573" t="str">
        <f t="shared" si="28"/>
        <v>30日</v>
      </c>
    </row>
    <row r="127" spans="3:70" ht="20.100000000000001" customHeight="1" thickBot="1">
      <c r="C127" s="1032" t="s">
        <v>162</v>
      </c>
      <c r="D127" s="1033"/>
      <c r="E127" s="1033"/>
      <c r="F127" s="1033"/>
      <c r="G127" s="1033"/>
      <c r="H127" s="1033"/>
      <c r="I127" s="1033"/>
      <c r="J127" s="1033"/>
      <c r="K127" s="1033"/>
      <c r="L127" s="1033"/>
      <c r="M127" s="1033"/>
      <c r="N127" s="1033"/>
      <c r="O127" s="1034"/>
      <c r="P127" s="1284">
        <f ca="1">SUMIF(M112:V125,"諸経費",P112:V125)</f>
        <v>428160</v>
      </c>
      <c r="Q127" s="1018"/>
      <c r="R127" s="1018"/>
      <c r="S127" s="1018"/>
      <c r="T127" s="1018"/>
      <c r="U127" s="1018"/>
      <c r="V127" s="1019"/>
      <c r="Y127" s="1017">
        <f ca="1">SUMIF(M112:AE125,"諸経費",Y112:AE125)</f>
        <v>256896</v>
      </c>
      <c r="Z127" s="1018"/>
      <c r="AA127" s="1018"/>
      <c r="AB127" s="1018"/>
      <c r="AC127" s="1018"/>
      <c r="AD127" s="1018"/>
      <c r="AE127" s="1019"/>
      <c r="AH127" s="1029">
        <f ca="1">-(P127-Y127)</f>
        <v>-171264</v>
      </c>
      <c r="AI127" s="1030"/>
      <c r="AJ127" s="1030"/>
      <c r="AK127" s="1030"/>
      <c r="AL127" s="1030"/>
      <c r="AM127" s="1030"/>
      <c r="AN127" s="1031"/>
      <c r="AO127" s="977">
        <f ca="1">IF(ISERROR(1-(Y127/P127)),0,1-(Y127/P127))</f>
        <v>0.4</v>
      </c>
      <c r="AP127" s="978"/>
      <c r="AQ127" s="979"/>
      <c r="AR127" s="486"/>
      <c r="AS127" s="487"/>
      <c r="AT127" s="487"/>
      <c r="AU127" s="487"/>
      <c r="AV127" s="487"/>
      <c r="AY127" s="326"/>
      <c r="AZ127" s="326"/>
      <c r="BA127" s="326"/>
      <c r="BB127" s="573"/>
      <c r="BH127" s="574"/>
      <c r="BI127" s="574"/>
      <c r="BJ127" s="574"/>
      <c r="BK127" s="574"/>
      <c r="BL127" s="573"/>
    </row>
    <row r="128" spans="3:70" ht="18" customHeight="1">
      <c r="C128" s="1056" t="s">
        <v>164</v>
      </c>
      <c r="D128" s="1057"/>
      <c r="E128" s="1057"/>
      <c r="F128" s="1057"/>
      <c r="G128" s="1057"/>
      <c r="H128" s="1057"/>
      <c r="I128" s="1057"/>
      <c r="J128" s="1057"/>
      <c r="K128" s="1057"/>
      <c r="L128" s="1057"/>
      <c r="M128" s="1057"/>
      <c r="N128" s="1057"/>
      <c r="O128" s="1058"/>
      <c r="P128" s="1045">
        <f ca="1">($AX$25/60)*基礎情報!$J$4+P127</f>
        <v>7997160</v>
      </c>
      <c r="Q128" s="1012"/>
      <c r="R128" s="1012"/>
      <c r="S128" s="1012"/>
      <c r="T128" s="1012"/>
      <c r="U128" s="1012"/>
      <c r="V128" s="1013"/>
      <c r="Y128" s="1011">
        <f ca="1">(BC126/60)*基礎情報!$J$4+Y127</f>
        <v>7105896</v>
      </c>
      <c r="Z128" s="1012"/>
      <c r="AA128" s="1012"/>
      <c r="AB128" s="1012"/>
      <c r="AC128" s="1012"/>
      <c r="AD128" s="1012"/>
      <c r="AE128" s="1013"/>
      <c r="AH128" s="992">
        <f ca="1">-(P128-Y128)</f>
        <v>-891264</v>
      </c>
      <c r="AI128" s="993"/>
      <c r="AJ128" s="993"/>
      <c r="AK128" s="993"/>
      <c r="AL128" s="993"/>
      <c r="AM128" s="993"/>
      <c r="AN128" s="994"/>
      <c r="AO128" s="980">
        <f ca="1">IF(ISERROR(1-(Y128/P128)),0,1-(Y128/P128))</f>
        <v>0.11144756388517929</v>
      </c>
      <c r="AP128" s="981"/>
      <c r="AQ128" s="982"/>
      <c r="AY128" s="326"/>
      <c r="AZ128" s="326"/>
      <c r="BA128" s="326"/>
      <c r="BB128" s="573"/>
      <c r="BH128" s="574"/>
      <c r="BI128" s="574"/>
      <c r="BJ128" s="574"/>
      <c r="BK128" s="574"/>
      <c r="BL128" s="573"/>
    </row>
    <row r="129" spans="2:64" ht="18" customHeight="1" thickBot="1">
      <c r="C129" s="1059"/>
      <c r="D129" s="1060"/>
      <c r="E129" s="1060"/>
      <c r="F129" s="1060"/>
      <c r="G129" s="1060"/>
      <c r="H129" s="1060"/>
      <c r="I129" s="1060"/>
      <c r="J129" s="1060"/>
      <c r="K129" s="1060"/>
      <c r="L129" s="1060"/>
      <c r="M129" s="1060"/>
      <c r="N129" s="1060"/>
      <c r="O129" s="1061"/>
      <c r="P129" s="1046"/>
      <c r="Q129" s="1015"/>
      <c r="R129" s="1015"/>
      <c r="S129" s="1015"/>
      <c r="T129" s="1015"/>
      <c r="U129" s="1015"/>
      <c r="V129" s="1016"/>
      <c r="Y129" s="1014"/>
      <c r="Z129" s="1015"/>
      <c r="AA129" s="1015"/>
      <c r="AB129" s="1015"/>
      <c r="AC129" s="1015"/>
      <c r="AD129" s="1015"/>
      <c r="AE129" s="1016"/>
      <c r="AH129" s="995"/>
      <c r="AI129" s="996"/>
      <c r="AJ129" s="996"/>
      <c r="AK129" s="996"/>
      <c r="AL129" s="996"/>
      <c r="AM129" s="996"/>
      <c r="AN129" s="997"/>
      <c r="AO129" s="983"/>
      <c r="AP129" s="984"/>
      <c r="AQ129" s="985"/>
      <c r="AR129" s="488"/>
      <c r="AS129" s="340"/>
      <c r="AT129" s="340"/>
      <c r="AU129" s="340"/>
      <c r="AV129" s="340"/>
      <c r="AY129" s="326"/>
      <c r="AZ129" s="326"/>
      <c r="BA129" s="326"/>
      <c r="BB129" s="573"/>
      <c r="BH129" s="574"/>
      <c r="BI129" s="574"/>
      <c r="BJ129" s="574"/>
      <c r="BK129" s="574"/>
      <c r="BL129" s="573"/>
    </row>
    <row r="130" spans="2:64" ht="14.25" thickBot="1">
      <c r="AY130" s="326"/>
      <c r="AZ130" s="326"/>
      <c r="BA130" s="326"/>
      <c r="BB130" s="573"/>
      <c r="BH130" s="574"/>
      <c r="BI130" s="574"/>
      <c r="BJ130" s="574"/>
      <c r="BK130" s="574"/>
      <c r="BL130" s="573"/>
    </row>
    <row r="131" spans="2:64" ht="16.5" customHeight="1">
      <c r="B131" s="1276" t="s">
        <v>702</v>
      </c>
      <c r="C131" s="1036"/>
      <c r="D131" s="1036"/>
      <c r="E131" s="1036"/>
      <c r="F131" s="1036"/>
      <c r="G131" s="1036"/>
      <c r="H131" s="1036"/>
      <c r="I131" s="1062">
        <f>目標電子化率!$C$21</f>
        <v>5</v>
      </c>
      <c r="J131" s="1063"/>
      <c r="K131" s="1036" t="s">
        <v>802</v>
      </c>
      <c r="L131" s="1036"/>
      <c r="M131" s="1036"/>
      <c r="N131" s="1274" t="s">
        <v>400</v>
      </c>
      <c r="O131" s="1274"/>
      <c r="P131" s="1274"/>
      <c r="Q131" s="1274"/>
      <c r="R131" s="1274"/>
      <c r="S131" s="1312">
        <f>目標電子化率!$M$23</f>
        <v>0.6</v>
      </c>
      <c r="T131" s="1313"/>
      <c r="U131" s="1314"/>
      <c r="V131" s="1318" t="s">
        <v>401</v>
      </c>
      <c r="W131" s="1318"/>
      <c r="X131" s="1318"/>
      <c r="Y131" s="1318"/>
      <c r="Z131" s="1318"/>
      <c r="AA131" s="1319"/>
      <c r="AB131" s="1312">
        <f>目標電子化率!$M$24</f>
        <v>0</v>
      </c>
      <c r="AC131" s="1313"/>
      <c r="AD131" s="1314"/>
      <c r="AE131" s="417"/>
      <c r="AF131" s="417"/>
      <c r="AG131" s="417"/>
      <c r="AH131" s="416"/>
      <c r="AI131" s="417"/>
      <c r="AJ131" s="417"/>
      <c r="AK131" s="417"/>
      <c r="AL131" s="417"/>
      <c r="AM131" s="417"/>
      <c r="AN131" s="417"/>
      <c r="AO131" s="417"/>
      <c r="AP131" s="418"/>
      <c r="AQ131" s="418"/>
      <c r="AR131" s="418"/>
      <c r="AS131" s="419"/>
      <c r="AY131" s="326"/>
      <c r="AZ131" s="326"/>
      <c r="BA131" s="326"/>
      <c r="BB131" s="573"/>
      <c r="BH131" s="574"/>
      <c r="BI131" s="574"/>
      <c r="BJ131" s="574"/>
      <c r="BK131" s="574"/>
      <c r="BL131" s="573"/>
    </row>
    <row r="132" spans="2:64" ht="17.100000000000001" customHeight="1" thickBot="1">
      <c r="B132" s="1295"/>
      <c r="C132" s="1038"/>
      <c r="D132" s="1038"/>
      <c r="E132" s="1038"/>
      <c r="F132" s="1038"/>
      <c r="G132" s="1038"/>
      <c r="H132" s="1038"/>
      <c r="I132" s="1064"/>
      <c r="J132" s="1065"/>
      <c r="K132" s="1038"/>
      <c r="L132" s="1038"/>
      <c r="M132" s="1038"/>
      <c r="N132" s="1275"/>
      <c r="O132" s="1275"/>
      <c r="P132" s="1275"/>
      <c r="Q132" s="1275"/>
      <c r="R132" s="1275"/>
      <c r="S132" s="1315"/>
      <c r="T132" s="1316"/>
      <c r="U132" s="1317"/>
      <c r="V132" s="1318"/>
      <c r="W132" s="1318"/>
      <c r="X132" s="1318"/>
      <c r="Y132" s="1318"/>
      <c r="Z132" s="1318"/>
      <c r="AA132" s="1319"/>
      <c r="AB132" s="1315"/>
      <c r="AC132" s="1316"/>
      <c r="AD132" s="1317"/>
      <c r="AE132" s="421"/>
      <c r="AF132" s="421"/>
      <c r="AG132" s="421"/>
      <c r="AH132" s="420"/>
      <c r="AI132" s="421"/>
      <c r="AJ132" s="421"/>
      <c r="AK132" s="421"/>
      <c r="AL132" s="421"/>
      <c r="AM132" s="421"/>
      <c r="AN132" s="421"/>
      <c r="AO132" s="421"/>
      <c r="AP132" s="422"/>
      <c r="AQ132" s="422"/>
      <c r="AR132" s="422"/>
      <c r="AS132" s="423"/>
      <c r="AY132" s="326"/>
      <c r="AZ132" s="326"/>
      <c r="BA132" s="326"/>
      <c r="BB132" s="573"/>
      <c r="BH132" s="574"/>
      <c r="BI132" s="574"/>
      <c r="BJ132" s="574"/>
      <c r="BK132" s="574"/>
      <c r="BL132" s="573"/>
    </row>
    <row r="133" spans="2:64" ht="8.1" customHeight="1" thickBot="1">
      <c r="W133" s="340"/>
      <c r="X133" s="340"/>
      <c r="Y133" s="340"/>
      <c r="Z133" s="340"/>
      <c r="AA133" s="340"/>
      <c r="AB133" s="340"/>
      <c r="AC133" s="340"/>
      <c r="AD133" s="340"/>
      <c r="AE133" s="340"/>
      <c r="AF133" s="340"/>
      <c r="AG133" s="340"/>
      <c r="AH133" s="340"/>
      <c r="AY133" s="326"/>
      <c r="AZ133" s="326"/>
      <c r="BA133" s="326"/>
      <c r="BB133" s="573"/>
      <c r="BH133" s="574"/>
      <c r="BI133" s="574"/>
      <c r="BJ133" s="574"/>
      <c r="BK133" s="574"/>
      <c r="BL133" s="573"/>
    </row>
    <row r="134" spans="2:64" ht="15.95" customHeight="1">
      <c r="C134" s="1047" t="s">
        <v>707</v>
      </c>
      <c r="D134" s="1048"/>
      <c r="E134" s="1048"/>
      <c r="F134" s="1048"/>
      <c r="G134" s="1049"/>
      <c r="H134" s="1047" t="s">
        <v>712</v>
      </c>
      <c r="I134" s="1048"/>
      <c r="J134" s="1048"/>
      <c r="K134" s="1048"/>
      <c r="L134" s="1049"/>
      <c r="M134" s="1047"/>
      <c r="N134" s="1048"/>
      <c r="O134" s="1048"/>
      <c r="P134" s="1251" t="s">
        <v>147</v>
      </c>
      <c r="Q134" s="999"/>
      <c r="R134" s="999"/>
      <c r="S134" s="999"/>
      <c r="T134" s="999"/>
      <c r="U134" s="999"/>
      <c r="V134" s="1000"/>
      <c r="Y134" s="998" t="s">
        <v>708</v>
      </c>
      <c r="Z134" s="999"/>
      <c r="AA134" s="999"/>
      <c r="AB134" s="999"/>
      <c r="AC134" s="999"/>
      <c r="AD134" s="999"/>
      <c r="AE134" s="1000"/>
      <c r="AH134" s="1007" t="s">
        <v>170</v>
      </c>
      <c r="AI134" s="1007"/>
      <c r="AJ134" s="1007"/>
      <c r="AK134" s="1007"/>
      <c r="AL134" s="1007"/>
      <c r="AM134" s="1007"/>
      <c r="AN134" s="1007"/>
      <c r="AO134" s="1009" t="s">
        <v>171</v>
      </c>
      <c r="AP134" s="1009"/>
      <c r="AQ134" s="1009"/>
      <c r="AY134" s="326"/>
      <c r="AZ134" s="326"/>
      <c r="BA134" s="326"/>
      <c r="BB134" s="573"/>
      <c r="BH134" s="574"/>
      <c r="BI134" s="574"/>
      <c r="BJ134" s="574"/>
      <c r="BK134" s="574"/>
      <c r="BL134" s="573"/>
    </row>
    <row r="135" spans="2:64" ht="15.95" customHeight="1" thickBot="1">
      <c r="C135" s="1050"/>
      <c r="D135" s="1051"/>
      <c r="E135" s="1051"/>
      <c r="F135" s="1051"/>
      <c r="G135" s="1052"/>
      <c r="H135" s="1050"/>
      <c r="I135" s="1051"/>
      <c r="J135" s="1051"/>
      <c r="K135" s="1051"/>
      <c r="L135" s="1052"/>
      <c r="M135" s="1050"/>
      <c r="N135" s="1051"/>
      <c r="O135" s="1051"/>
      <c r="P135" s="1307"/>
      <c r="Q135" s="1308"/>
      <c r="R135" s="1308"/>
      <c r="S135" s="1308"/>
      <c r="T135" s="1308"/>
      <c r="U135" s="1308"/>
      <c r="V135" s="1309"/>
      <c r="Y135" s="1001"/>
      <c r="Z135" s="1002"/>
      <c r="AA135" s="1002"/>
      <c r="AB135" s="1002"/>
      <c r="AC135" s="1002"/>
      <c r="AD135" s="1002"/>
      <c r="AE135" s="1003"/>
      <c r="AH135" s="1008"/>
      <c r="AI135" s="1008"/>
      <c r="AJ135" s="1008"/>
      <c r="AK135" s="1008"/>
      <c r="AL135" s="1008"/>
      <c r="AM135" s="1008"/>
      <c r="AN135" s="1008"/>
      <c r="AO135" s="1010"/>
      <c r="AP135" s="1010"/>
      <c r="AQ135" s="1010"/>
      <c r="AY135" s="326"/>
      <c r="AZ135" s="326"/>
      <c r="BA135" s="326"/>
      <c r="BB135" s="573"/>
      <c r="BC135" s="326" t="s">
        <v>713</v>
      </c>
      <c r="BH135" s="574" t="s">
        <v>711</v>
      </c>
      <c r="BI135" s="574"/>
      <c r="BJ135" s="574"/>
      <c r="BK135" s="574"/>
      <c r="BL135" s="573"/>
    </row>
    <row r="136" spans="2:64" ht="20.100000000000001" customHeight="1">
      <c r="C136" s="1039" t="s">
        <v>149</v>
      </c>
      <c r="D136" s="1040"/>
      <c r="E136" s="1040"/>
      <c r="F136" s="1040"/>
      <c r="G136" s="1041"/>
      <c r="H136" s="1268">
        <f>'&lt;参考&gt;●現在の業務の総コスト'!$G$6</f>
        <v>7200</v>
      </c>
      <c r="I136" s="1269"/>
      <c r="J136" s="1269"/>
      <c r="K136" s="1269"/>
      <c r="L136" s="1296"/>
      <c r="M136" s="1270" t="s">
        <v>150</v>
      </c>
      <c r="N136" s="1271"/>
      <c r="O136" s="1272"/>
      <c r="P136" s="1273" t="str">
        <f>BB136</f>
        <v>-</v>
      </c>
      <c r="Q136" s="1239"/>
      <c r="R136" s="1239"/>
      <c r="S136" s="1239"/>
      <c r="T136" s="1239"/>
      <c r="U136" s="1239"/>
      <c r="V136" s="1240"/>
      <c r="Y136" s="1004" t="str">
        <f>BG136</f>
        <v>-</v>
      </c>
      <c r="Z136" s="1005"/>
      <c r="AA136" s="1005"/>
      <c r="AB136" s="1005"/>
      <c r="AC136" s="1005"/>
      <c r="AD136" s="1005"/>
      <c r="AE136" s="1006"/>
      <c r="AH136" s="1020" t="str">
        <f>IF(BL136="-",BL136,"-"&amp;BL136)</f>
        <v>-</v>
      </c>
      <c r="AI136" s="1021"/>
      <c r="AJ136" s="1021"/>
      <c r="AK136" s="1021"/>
      <c r="AL136" s="1021"/>
      <c r="AM136" s="1021"/>
      <c r="AN136" s="1022"/>
      <c r="AO136" s="986">
        <f>IF(ISERROR(1-(BC136/'&lt;参考&gt;●現在の業務の総コスト'!$G$20)),0,1-(BC136/'&lt;参考&gt;●現在の業務の総コスト'!$G$20))</f>
        <v>0</v>
      </c>
      <c r="AP136" s="987"/>
      <c r="AQ136" s="988"/>
      <c r="AR136" s="962">
        <f>-(BH136*基礎情報!$Q$4)+AH137</f>
        <v>0</v>
      </c>
      <c r="AS136" s="963"/>
      <c r="AT136" s="963"/>
      <c r="AU136" s="963"/>
      <c r="AV136" s="964"/>
      <c r="AX136" s="574">
        <f>'&lt;参考&gt;●現在の業務の総コスト'!$G20</f>
        <v>0</v>
      </c>
      <c r="AY136" s="326">
        <f t="shared" ref="AY136:AY148" si="33">INT(AX136/$AY$6/60)</f>
        <v>0</v>
      </c>
      <c r="AZ136" s="326">
        <f t="shared" ref="AZ136:AZ148" si="34">INT((AX136-AY136*60*$AY$6)/60)</f>
        <v>0</v>
      </c>
      <c r="BA136" s="326">
        <f t="shared" ref="BA136:BA148" si="35">ROUND(MOD(AX136,60),0)</f>
        <v>0</v>
      </c>
      <c r="BB136" s="573" t="str">
        <f t="shared" ref="BB136:BB148" si="36">IF(AX136=0,"-",IF(AY136=0,"",AY136&amp;"日")&amp;IF(AZ136=0,"",AZ136&amp;"時間")&amp;IF(BA136=0,"",BA136&amp;"分"))</f>
        <v>-</v>
      </c>
      <c r="BC136" s="82">
        <f>(●計算表!$D$68*(1-$S$131))+(●計算表!$P$68*$S$131)</f>
        <v>0</v>
      </c>
      <c r="BD136" s="326">
        <f t="shared" ref="BD136:BD150" si="37">INT(BC136/$AY$6/60)</f>
        <v>0</v>
      </c>
      <c r="BE136" s="326">
        <f t="shared" ref="BE136:BE150" si="38">INT((BC136-BD136*60*$AY$6)/60)</f>
        <v>0</v>
      </c>
      <c r="BF136" s="326">
        <f t="shared" si="21"/>
        <v>0</v>
      </c>
      <c r="BG136" s="573" t="str">
        <f t="shared" si="22"/>
        <v>-</v>
      </c>
      <c r="BH136" s="574">
        <f>'&lt;参考&gt;●現在の業務の総コスト'!$G$20-BC136</f>
        <v>0</v>
      </c>
      <c r="BI136" s="574">
        <f t="shared" ref="BI136:BI150" si="39">INT(BH136/$AY$6/60)</f>
        <v>0</v>
      </c>
      <c r="BJ136" s="574">
        <f t="shared" ref="BJ136:BJ150" si="40">INT((BH136-BI136*60*$AY$6)/60)</f>
        <v>0</v>
      </c>
      <c r="BK136" s="574">
        <f t="shared" si="27"/>
        <v>0</v>
      </c>
      <c r="BL136" s="573" t="str">
        <f t="shared" si="28"/>
        <v>-</v>
      </c>
    </row>
    <row r="137" spans="2:64" ht="20.100000000000001" customHeight="1">
      <c r="C137" s="1042"/>
      <c r="D137" s="1043"/>
      <c r="E137" s="1043"/>
      <c r="F137" s="1043"/>
      <c r="G137" s="1044"/>
      <c r="H137" s="1087"/>
      <c r="I137" s="1088"/>
      <c r="J137" s="1088"/>
      <c r="K137" s="1088"/>
      <c r="L137" s="1089"/>
      <c r="M137" s="1081" t="s">
        <v>154</v>
      </c>
      <c r="N137" s="1082"/>
      <c r="O137" s="1083"/>
      <c r="P137" s="1066">
        <f>'&lt;参考&gt;●現在の業務の総コスト'!$N$19</f>
        <v>0</v>
      </c>
      <c r="Q137" s="1067"/>
      <c r="R137" s="1067"/>
      <c r="S137" s="1067"/>
      <c r="T137" s="1067"/>
      <c r="U137" s="1067"/>
      <c r="V137" s="1068"/>
      <c r="Y137" s="1066">
        <f>(●計算表!$D$74*(1-$S$131))+(●計算表!$P$74*$S$131)</f>
        <v>0</v>
      </c>
      <c r="Z137" s="1067"/>
      <c r="AA137" s="1067"/>
      <c r="AB137" s="1067"/>
      <c r="AC137" s="1067"/>
      <c r="AD137" s="1067"/>
      <c r="AE137" s="1068"/>
      <c r="AH137" s="1053">
        <f>-(P137-Y137)</f>
        <v>0</v>
      </c>
      <c r="AI137" s="1054"/>
      <c r="AJ137" s="1054"/>
      <c r="AK137" s="1054"/>
      <c r="AL137" s="1054"/>
      <c r="AM137" s="1054"/>
      <c r="AN137" s="1055"/>
      <c r="AO137" s="977">
        <f>IF(ISERROR(1-(Y137/P137)),0,1-(Y137/P137))</f>
        <v>0</v>
      </c>
      <c r="AP137" s="978"/>
      <c r="AQ137" s="979"/>
      <c r="AR137" s="968"/>
      <c r="AS137" s="969"/>
      <c r="AT137" s="969"/>
      <c r="AU137" s="969"/>
      <c r="AV137" s="970"/>
      <c r="AY137" s="326">
        <f t="shared" si="33"/>
        <v>0</v>
      </c>
      <c r="AZ137" s="326">
        <f t="shared" si="34"/>
        <v>0</v>
      </c>
      <c r="BA137" s="326">
        <f t="shared" si="35"/>
        <v>0</v>
      </c>
      <c r="BB137" s="573" t="str">
        <f t="shared" si="36"/>
        <v>-</v>
      </c>
      <c r="BC137" s="82"/>
      <c r="BD137" s="326">
        <f t="shared" si="37"/>
        <v>0</v>
      </c>
      <c r="BE137" s="326">
        <f t="shared" si="38"/>
        <v>0</v>
      </c>
      <c r="BF137" s="326">
        <f t="shared" si="21"/>
        <v>0</v>
      </c>
      <c r="BG137" s="573" t="str">
        <f t="shared" si="22"/>
        <v>-</v>
      </c>
      <c r="BH137" s="574"/>
      <c r="BI137" s="574">
        <f t="shared" si="39"/>
        <v>0</v>
      </c>
      <c r="BJ137" s="574">
        <f t="shared" si="40"/>
        <v>0</v>
      </c>
      <c r="BK137" s="574">
        <f t="shared" si="27"/>
        <v>0</v>
      </c>
      <c r="BL137" s="573" t="str">
        <f t="shared" si="28"/>
        <v>-</v>
      </c>
    </row>
    <row r="138" spans="2:64" ht="20.100000000000001" customHeight="1">
      <c r="C138" s="1042" t="s">
        <v>224</v>
      </c>
      <c r="D138" s="1043"/>
      <c r="E138" s="1043"/>
      <c r="F138" s="1043"/>
      <c r="G138" s="1044"/>
      <c r="H138" s="1087">
        <f>'&lt;参考&gt;●現在の業務の総コスト'!$G$6</f>
        <v>7200</v>
      </c>
      <c r="I138" s="1088"/>
      <c r="J138" s="1088"/>
      <c r="K138" s="1088"/>
      <c r="L138" s="1089"/>
      <c r="M138" s="1081" t="s">
        <v>150</v>
      </c>
      <c r="N138" s="1082"/>
      <c r="O138" s="1083"/>
      <c r="P138" s="1304" t="str">
        <f>BB138</f>
        <v>-</v>
      </c>
      <c r="Q138" s="1286"/>
      <c r="R138" s="1286"/>
      <c r="S138" s="1286"/>
      <c r="T138" s="1286"/>
      <c r="U138" s="1286"/>
      <c r="V138" s="1287"/>
      <c r="Y138" s="1069" t="str">
        <f>BG138</f>
        <v>-</v>
      </c>
      <c r="Z138" s="1070"/>
      <c r="AA138" s="1070"/>
      <c r="AB138" s="1070"/>
      <c r="AC138" s="1070"/>
      <c r="AD138" s="1070"/>
      <c r="AE138" s="1071"/>
      <c r="AH138" s="1026" t="str">
        <f>IF(BL138="-",BL138,"-"&amp;BL138)</f>
        <v>-</v>
      </c>
      <c r="AI138" s="1027"/>
      <c r="AJ138" s="1027"/>
      <c r="AK138" s="1027"/>
      <c r="AL138" s="1027"/>
      <c r="AM138" s="1027"/>
      <c r="AN138" s="1028"/>
      <c r="AO138" s="977">
        <f>IF(ISERROR(1-(BC138/'&lt;参考&gt;●現在の業務の総コスト'!$G$22)),0,1-(BC138/'&lt;参考&gt;●現在の業務の総コスト'!$G$22))</f>
        <v>0</v>
      </c>
      <c r="AP138" s="978"/>
      <c r="AQ138" s="979"/>
      <c r="AR138" s="971">
        <f>-(BH138*基礎情報!$Q$4)+AH139</f>
        <v>0</v>
      </c>
      <c r="AS138" s="972"/>
      <c r="AT138" s="972"/>
      <c r="AU138" s="972"/>
      <c r="AV138" s="973"/>
      <c r="AX138" s="574">
        <f>'&lt;参考&gt;●現在の業務の総コスト'!$G22</f>
        <v>0</v>
      </c>
      <c r="AY138" s="326">
        <f t="shared" si="33"/>
        <v>0</v>
      </c>
      <c r="AZ138" s="326">
        <f t="shared" si="34"/>
        <v>0</v>
      </c>
      <c r="BA138" s="326">
        <f t="shared" si="35"/>
        <v>0</v>
      </c>
      <c r="BB138" s="573" t="str">
        <f t="shared" si="36"/>
        <v>-</v>
      </c>
      <c r="BC138" s="82">
        <f>(●計算表!$D$134*(1-$S$131))+(●計算表!$P$134*$S$131)</f>
        <v>0</v>
      </c>
      <c r="BD138" s="326">
        <f t="shared" si="37"/>
        <v>0</v>
      </c>
      <c r="BE138" s="326">
        <f t="shared" si="38"/>
        <v>0</v>
      </c>
      <c r="BF138" s="326">
        <f t="shared" si="21"/>
        <v>0</v>
      </c>
      <c r="BG138" s="573" t="str">
        <f t="shared" si="22"/>
        <v>-</v>
      </c>
      <c r="BH138" s="574">
        <f>'&lt;参考&gt;●現在の業務の総コスト'!$G$22-BC138</f>
        <v>0</v>
      </c>
      <c r="BI138" s="574">
        <f t="shared" si="39"/>
        <v>0</v>
      </c>
      <c r="BJ138" s="574">
        <f t="shared" si="40"/>
        <v>0</v>
      </c>
      <c r="BK138" s="574">
        <f t="shared" si="27"/>
        <v>0</v>
      </c>
      <c r="BL138" s="573" t="str">
        <f t="shared" si="28"/>
        <v>-</v>
      </c>
    </row>
    <row r="139" spans="2:64" ht="20.100000000000001" customHeight="1" thickBot="1">
      <c r="C139" s="1265"/>
      <c r="D139" s="1266"/>
      <c r="E139" s="1266"/>
      <c r="F139" s="1266"/>
      <c r="G139" s="1267"/>
      <c r="H139" s="1090"/>
      <c r="I139" s="1091"/>
      <c r="J139" s="1091"/>
      <c r="K139" s="1091"/>
      <c r="L139" s="1092"/>
      <c r="M139" s="1084" t="s">
        <v>154</v>
      </c>
      <c r="N139" s="1085"/>
      <c r="O139" s="1086"/>
      <c r="P139" s="1017">
        <f>'&lt;参考&gt;●現在の業務の総コスト'!$N$21</f>
        <v>0</v>
      </c>
      <c r="Q139" s="1018"/>
      <c r="R139" s="1018"/>
      <c r="S139" s="1018"/>
      <c r="T139" s="1018"/>
      <c r="U139" s="1018"/>
      <c r="V139" s="1019"/>
      <c r="Y139" s="1029">
        <f>(●計算表!$D$140*(1-$S$131))+(●計算表!$P$140*$S$131)</f>
        <v>0</v>
      </c>
      <c r="Z139" s="1030"/>
      <c r="AA139" s="1030"/>
      <c r="AB139" s="1030"/>
      <c r="AC139" s="1030"/>
      <c r="AD139" s="1030"/>
      <c r="AE139" s="1031"/>
      <c r="AH139" s="1029">
        <f>-(P139-Y139)</f>
        <v>0</v>
      </c>
      <c r="AI139" s="1030"/>
      <c r="AJ139" s="1030"/>
      <c r="AK139" s="1030"/>
      <c r="AL139" s="1030"/>
      <c r="AM139" s="1030"/>
      <c r="AN139" s="1031"/>
      <c r="AO139" s="977">
        <f>IF(ISERROR(1-(Y139/P139)),0,1-(Y139/P139))</f>
        <v>0</v>
      </c>
      <c r="AP139" s="978"/>
      <c r="AQ139" s="979"/>
      <c r="AR139" s="965"/>
      <c r="AS139" s="966"/>
      <c r="AT139" s="966"/>
      <c r="AU139" s="966"/>
      <c r="AV139" s="967"/>
      <c r="AY139" s="326">
        <f t="shared" si="33"/>
        <v>0</v>
      </c>
      <c r="AZ139" s="326">
        <f t="shared" si="34"/>
        <v>0</v>
      </c>
      <c r="BA139" s="326">
        <f t="shared" si="35"/>
        <v>0</v>
      </c>
      <c r="BB139" s="573" t="str">
        <f t="shared" si="36"/>
        <v>-</v>
      </c>
      <c r="BC139" s="82"/>
      <c r="BD139" s="326">
        <f t="shared" si="37"/>
        <v>0</v>
      </c>
      <c r="BE139" s="326">
        <f t="shared" si="38"/>
        <v>0</v>
      </c>
      <c r="BF139" s="326">
        <f t="shared" si="21"/>
        <v>0</v>
      </c>
      <c r="BG139" s="573" t="str">
        <f t="shared" si="22"/>
        <v>-</v>
      </c>
      <c r="BH139" s="574"/>
      <c r="BI139" s="574">
        <f t="shared" si="39"/>
        <v>0</v>
      </c>
      <c r="BJ139" s="574">
        <f t="shared" si="40"/>
        <v>0</v>
      </c>
      <c r="BK139" s="574">
        <f t="shared" si="27"/>
        <v>0</v>
      </c>
      <c r="BL139" s="573" t="str">
        <f t="shared" si="28"/>
        <v>-</v>
      </c>
    </row>
    <row r="140" spans="2:64" ht="20.100000000000001" customHeight="1">
      <c r="C140" s="1039" t="s">
        <v>157</v>
      </c>
      <c r="D140" s="1040"/>
      <c r="E140" s="1040"/>
      <c r="F140" s="1040"/>
      <c r="G140" s="1041"/>
      <c r="H140" s="1268">
        <f>'&lt;参考&gt;●現在の業務の総コスト'!$G$5</f>
        <v>2400</v>
      </c>
      <c r="I140" s="1269"/>
      <c r="J140" s="1269"/>
      <c r="K140" s="1269"/>
      <c r="L140" s="1296"/>
      <c r="M140" s="1270" t="s">
        <v>150</v>
      </c>
      <c r="N140" s="1271"/>
      <c r="O140" s="1272"/>
      <c r="P140" s="1273" t="str">
        <f>BB140</f>
        <v>300日</v>
      </c>
      <c r="Q140" s="1239"/>
      <c r="R140" s="1239"/>
      <c r="S140" s="1239"/>
      <c r="T140" s="1239"/>
      <c r="U140" s="1239"/>
      <c r="V140" s="1240"/>
      <c r="Y140" s="1023" t="str">
        <f>BG140</f>
        <v>255日</v>
      </c>
      <c r="Z140" s="1024"/>
      <c r="AA140" s="1024"/>
      <c r="AB140" s="1024"/>
      <c r="AC140" s="1024"/>
      <c r="AD140" s="1024"/>
      <c r="AE140" s="1025"/>
      <c r="AH140" s="1020" t="str">
        <f>IF(BL140="-",BL140,"-"&amp;BL140)</f>
        <v>-45日</v>
      </c>
      <c r="AI140" s="1021"/>
      <c r="AJ140" s="1021"/>
      <c r="AK140" s="1021"/>
      <c r="AL140" s="1021"/>
      <c r="AM140" s="1021"/>
      <c r="AN140" s="1022"/>
      <c r="AO140" s="986">
        <f>IF(ISERROR(1-(BC140/'&lt;参考&gt;●現在の業務の総コスト'!$G$24)),0,1-(BC140/'&lt;参考&gt;●現在の業務の総コスト'!$G$24))</f>
        <v>0.15000000000000002</v>
      </c>
      <c r="AP140" s="987"/>
      <c r="AQ140" s="988"/>
      <c r="AR140" s="962">
        <f>-(BH140*基礎情報!$Q$4)+AH141</f>
        <v>-1253664</v>
      </c>
      <c r="AS140" s="963"/>
      <c r="AT140" s="963"/>
      <c r="AU140" s="963"/>
      <c r="AV140" s="964"/>
      <c r="AX140" s="574">
        <f>'&lt;参考&gt;●現在の業務の総コスト'!$G24</f>
        <v>144000</v>
      </c>
      <c r="AY140" s="326">
        <f t="shared" si="33"/>
        <v>300</v>
      </c>
      <c r="AZ140" s="326">
        <f t="shared" si="34"/>
        <v>0</v>
      </c>
      <c r="BA140" s="326">
        <f t="shared" si="35"/>
        <v>0</v>
      </c>
      <c r="BB140" s="573" t="str">
        <f t="shared" si="36"/>
        <v>300日</v>
      </c>
      <c r="BC140" s="82">
        <f>(●計算表!$D$194*(1-$S$131))+(●計算表!$P$194*$S$131)</f>
        <v>122400</v>
      </c>
      <c r="BD140" s="326">
        <f t="shared" si="37"/>
        <v>255</v>
      </c>
      <c r="BE140" s="326">
        <f t="shared" si="38"/>
        <v>0</v>
      </c>
      <c r="BF140" s="326">
        <f t="shared" si="21"/>
        <v>0</v>
      </c>
      <c r="BG140" s="573" t="str">
        <f t="shared" si="22"/>
        <v>255日</v>
      </c>
      <c r="BH140" s="574">
        <f>'&lt;参考&gt;●現在の業務の総コスト'!$G$24-BC140</f>
        <v>21600</v>
      </c>
      <c r="BI140" s="574">
        <f t="shared" si="39"/>
        <v>45</v>
      </c>
      <c r="BJ140" s="574">
        <f t="shared" si="40"/>
        <v>0</v>
      </c>
      <c r="BK140" s="574">
        <f t="shared" si="27"/>
        <v>0</v>
      </c>
      <c r="BL140" s="573" t="str">
        <f t="shared" si="28"/>
        <v>45日</v>
      </c>
    </row>
    <row r="141" spans="2:64" ht="20.100000000000001" customHeight="1">
      <c r="C141" s="1042"/>
      <c r="D141" s="1043"/>
      <c r="E141" s="1043"/>
      <c r="F141" s="1043"/>
      <c r="G141" s="1044"/>
      <c r="H141" s="1087"/>
      <c r="I141" s="1088"/>
      <c r="J141" s="1088"/>
      <c r="K141" s="1088"/>
      <c r="L141" s="1089"/>
      <c r="M141" s="1081" t="s">
        <v>154</v>
      </c>
      <c r="N141" s="1082"/>
      <c r="O141" s="1083"/>
      <c r="P141" s="1066">
        <f>'&lt;参考&gt;●現在の業務の総コスト'!$N$23</f>
        <v>289440</v>
      </c>
      <c r="Q141" s="1067"/>
      <c r="R141" s="1067"/>
      <c r="S141" s="1067"/>
      <c r="T141" s="1067"/>
      <c r="U141" s="1067"/>
      <c r="V141" s="1068"/>
      <c r="Y141" s="1053">
        <f>(●計算表!$D$200*(1-$S$131))+(●計算表!$P$200*$S$131)</f>
        <v>115776</v>
      </c>
      <c r="Z141" s="1054"/>
      <c r="AA141" s="1054"/>
      <c r="AB141" s="1054"/>
      <c r="AC141" s="1054"/>
      <c r="AD141" s="1054"/>
      <c r="AE141" s="1055"/>
      <c r="AH141" s="1053">
        <f>-(P141-Y141)</f>
        <v>-173664</v>
      </c>
      <c r="AI141" s="1054"/>
      <c r="AJ141" s="1054"/>
      <c r="AK141" s="1054"/>
      <c r="AL141" s="1054"/>
      <c r="AM141" s="1054"/>
      <c r="AN141" s="1055"/>
      <c r="AO141" s="977">
        <f>IF(ISERROR(1-(Y141/P141)),0,1-(Y141/P141))</f>
        <v>0.6</v>
      </c>
      <c r="AP141" s="978"/>
      <c r="AQ141" s="979"/>
      <c r="AR141" s="968"/>
      <c r="AS141" s="969"/>
      <c r="AT141" s="969"/>
      <c r="AU141" s="969"/>
      <c r="AV141" s="970"/>
      <c r="AY141" s="326">
        <f t="shared" si="33"/>
        <v>0</v>
      </c>
      <c r="AZ141" s="326">
        <f t="shared" si="34"/>
        <v>0</v>
      </c>
      <c r="BA141" s="326">
        <f t="shared" si="35"/>
        <v>0</v>
      </c>
      <c r="BB141" s="573" t="str">
        <f t="shared" si="36"/>
        <v>-</v>
      </c>
      <c r="BC141" s="82"/>
      <c r="BD141" s="326">
        <f t="shared" si="37"/>
        <v>0</v>
      </c>
      <c r="BE141" s="326">
        <f t="shared" si="38"/>
        <v>0</v>
      </c>
      <c r="BF141" s="326">
        <f t="shared" si="21"/>
        <v>0</v>
      </c>
      <c r="BG141" s="573" t="str">
        <f t="shared" si="22"/>
        <v>-</v>
      </c>
      <c r="BH141" s="574"/>
      <c r="BI141" s="574">
        <f t="shared" si="39"/>
        <v>0</v>
      </c>
      <c r="BJ141" s="574">
        <f t="shared" si="40"/>
        <v>0</v>
      </c>
      <c r="BK141" s="574">
        <f t="shared" si="27"/>
        <v>0</v>
      </c>
      <c r="BL141" s="573" t="str">
        <f t="shared" si="28"/>
        <v>-</v>
      </c>
    </row>
    <row r="142" spans="2:64" ht="20.100000000000001" customHeight="1">
      <c r="C142" s="1042" t="s">
        <v>158</v>
      </c>
      <c r="D142" s="1043"/>
      <c r="E142" s="1043"/>
      <c r="F142" s="1043"/>
      <c r="G142" s="1044"/>
      <c r="H142" s="1087">
        <f>'&lt;参考&gt;●現在の業務の総コスト'!$G$5</f>
        <v>2400</v>
      </c>
      <c r="I142" s="1088"/>
      <c r="J142" s="1088"/>
      <c r="K142" s="1088"/>
      <c r="L142" s="1089"/>
      <c r="M142" s="1081" t="s">
        <v>150</v>
      </c>
      <c r="N142" s="1082"/>
      <c r="O142" s="1083"/>
      <c r="P142" s="1304" t="str">
        <f>BB142</f>
        <v>15日</v>
      </c>
      <c r="Q142" s="1286"/>
      <c r="R142" s="1286"/>
      <c r="S142" s="1286"/>
      <c r="T142" s="1286"/>
      <c r="U142" s="1286"/>
      <c r="V142" s="1287"/>
      <c r="Y142" s="1069" t="str">
        <f>BG142</f>
        <v>15日</v>
      </c>
      <c r="Z142" s="1070"/>
      <c r="AA142" s="1070"/>
      <c r="AB142" s="1070"/>
      <c r="AC142" s="1070"/>
      <c r="AD142" s="1070"/>
      <c r="AE142" s="1071"/>
      <c r="AH142" s="1026" t="str">
        <f>IF(BL142="-",BL142,"-"&amp;BL142)</f>
        <v>-</v>
      </c>
      <c r="AI142" s="1027"/>
      <c r="AJ142" s="1027"/>
      <c r="AK142" s="1027"/>
      <c r="AL142" s="1027"/>
      <c r="AM142" s="1027"/>
      <c r="AN142" s="1028"/>
      <c r="AO142" s="977">
        <f>IF(ISERROR(1-(BC142/'&lt;参考&gt;●現在の業務の総コスト'!$G$26)),0,1-(BC142/'&lt;参考&gt;●現在の業務の総コスト'!$G$26))</f>
        <v>0</v>
      </c>
      <c r="AP142" s="978"/>
      <c r="AQ142" s="979"/>
      <c r="AR142" s="971">
        <f>-(BH142*基礎情報!$Q$4)+AH143</f>
        <v>-11232</v>
      </c>
      <c r="AS142" s="972"/>
      <c r="AT142" s="972"/>
      <c r="AU142" s="972"/>
      <c r="AV142" s="973"/>
      <c r="AX142" s="574">
        <f>'&lt;参考&gt;●現在の業務の総コスト'!$G26</f>
        <v>7200</v>
      </c>
      <c r="AY142" s="326">
        <f t="shared" si="33"/>
        <v>15</v>
      </c>
      <c r="AZ142" s="326">
        <f t="shared" si="34"/>
        <v>0</v>
      </c>
      <c r="BA142" s="326">
        <f t="shared" si="35"/>
        <v>0</v>
      </c>
      <c r="BB142" s="573" t="str">
        <f t="shared" si="36"/>
        <v>15日</v>
      </c>
      <c r="BC142" s="82">
        <f>(●計算表!$D$254*(1-$S$131))+(●計算表!$P$254*$S$131)</f>
        <v>7200</v>
      </c>
      <c r="BD142" s="326">
        <f t="shared" si="37"/>
        <v>15</v>
      </c>
      <c r="BE142" s="326">
        <f t="shared" si="38"/>
        <v>0</v>
      </c>
      <c r="BF142" s="326">
        <f t="shared" si="21"/>
        <v>0</v>
      </c>
      <c r="BG142" s="573" t="str">
        <f t="shared" si="22"/>
        <v>15日</v>
      </c>
      <c r="BH142" s="574">
        <f>'&lt;参考&gt;●現在の業務の総コスト'!$G$26-BC142</f>
        <v>0</v>
      </c>
      <c r="BI142" s="574">
        <f t="shared" si="39"/>
        <v>0</v>
      </c>
      <c r="BJ142" s="574">
        <f t="shared" si="40"/>
        <v>0</v>
      </c>
      <c r="BK142" s="574">
        <f t="shared" si="27"/>
        <v>0</v>
      </c>
      <c r="BL142" s="573" t="str">
        <f t="shared" si="28"/>
        <v>-</v>
      </c>
    </row>
    <row r="143" spans="2:64" ht="20.100000000000001" customHeight="1" thickBot="1">
      <c r="C143" s="1265"/>
      <c r="D143" s="1266"/>
      <c r="E143" s="1266"/>
      <c r="F143" s="1266"/>
      <c r="G143" s="1267"/>
      <c r="H143" s="1090"/>
      <c r="I143" s="1091"/>
      <c r="J143" s="1091"/>
      <c r="K143" s="1091"/>
      <c r="L143" s="1092"/>
      <c r="M143" s="1084" t="s">
        <v>154</v>
      </c>
      <c r="N143" s="1085"/>
      <c r="O143" s="1086"/>
      <c r="P143" s="1017">
        <f>'&lt;参考&gt;●現在の業務の総コスト'!$N$25</f>
        <v>18720</v>
      </c>
      <c r="Q143" s="1018"/>
      <c r="R143" s="1018"/>
      <c r="S143" s="1018"/>
      <c r="T143" s="1018"/>
      <c r="U143" s="1018"/>
      <c r="V143" s="1019"/>
      <c r="Y143" s="1029">
        <f>(●計算表!$D$260*(1-$S$131))+(●計算表!$P$260*$S$131)</f>
        <v>7488</v>
      </c>
      <c r="Z143" s="1030"/>
      <c r="AA143" s="1030"/>
      <c r="AB143" s="1030"/>
      <c r="AC143" s="1030"/>
      <c r="AD143" s="1030"/>
      <c r="AE143" s="1031"/>
      <c r="AH143" s="1029">
        <f>-(P143-Y143)</f>
        <v>-11232</v>
      </c>
      <c r="AI143" s="1030"/>
      <c r="AJ143" s="1030"/>
      <c r="AK143" s="1030"/>
      <c r="AL143" s="1030"/>
      <c r="AM143" s="1030"/>
      <c r="AN143" s="1031"/>
      <c r="AO143" s="977">
        <f>IF(ISERROR(1-(Y143/P143)),0,1-(Y143/P143))</f>
        <v>0.6</v>
      </c>
      <c r="AP143" s="978"/>
      <c r="AQ143" s="979"/>
      <c r="AR143" s="965"/>
      <c r="AS143" s="966"/>
      <c r="AT143" s="966"/>
      <c r="AU143" s="966"/>
      <c r="AV143" s="967"/>
      <c r="AY143" s="326">
        <f t="shared" si="33"/>
        <v>0</v>
      </c>
      <c r="AZ143" s="326">
        <f t="shared" si="34"/>
        <v>0</v>
      </c>
      <c r="BA143" s="326">
        <f t="shared" si="35"/>
        <v>0</v>
      </c>
      <c r="BB143" s="573" t="str">
        <f t="shared" si="36"/>
        <v>-</v>
      </c>
      <c r="BC143" s="82"/>
      <c r="BD143" s="326">
        <f t="shared" si="37"/>
        <v>0</v>
      </c>
      <c r="BE143" s="326">
        <f t="shared" si="38"/>
        <v>0</v>
      </c>
      <c r="BF143" s="326">
        <f t="shared" si="21"/>
        <v>0</v>
      </c>
      <c r="BG143" s="573" t="str">
        <f t="shared" si="22"/>
        <v>-</v>
      </c>
      <c r="BH143" s="574"/>
      <c r="BI143" s="574">
        <f t="shared" si="39"/>
        <v>0</v>
      </c>
      <c r="BJ143" s="574">
        <f t="shared" si="40"/>
        <v>0</v>
      </c>
      <c r="BK143" s="574">
        <f t="shared" si="27"/>
        <v>0</v>
      </c>
      <c r="BL143" s="573" t="str">
        <f t="shared" si="28"/>
        <v>-</v>
      </c>
    </row>
    <row r="144" spans="2:64" ht="20.100000000000001" customHeight="1">
      <c r="C144" s="697" t="s">
        <v>159</v>
      </c>
      <c r="D144" s="698"/>
      <c r="E144" s="698"/>
      <c r="F144" s="698"/>
      <c r="G144" s="698"/>
      <c r="H144" s="1268">
        <f>'&lt;参考&gt;●現在の業務の総コスト'!$O$6</f>
        <v>0</v>
      </c>
      <c r="I144" s="1269"/>
      <c r="J144" s="1269"/>
      <c r="K144" s="1269"/>
      <c r="L144" s="1269"/>
      <c r="M144" s="1270" t="s">
        <v>150</v>
      </c>
      <c r="N144" s="1271"/>
      <c r="O144" s="1272"/>
      <c r="P144" s="1239" t="str">
        <f>BB144</f>
        <v>-</v>
      </c>
      <c r="Q144" s="1239"/>
      <c r="R144" s="1239"/>
      <c r="S144" s="1239"/>
      <c r="T144" s="1239"/>
      <c r="U144" s="1239"/>
      <c r="V144" s="1240"/>
      <c r="Y144" s="1023" t="str">
        <f>BG144</f>
        <v>-</v>
      </c>
      <c r="Z144" s="1024"/>
      <c r="AA144" s="1024"/>
      <c r="AB144" s="1024"/>
      <c r="AC144" s="1024"/>
      <c r="AD144" s="1024"/>
      <c r="AE144" s="1025"/>
      <c r="AH144" s="1020" t="str">
        <f>IF(BL144="-",BL144,"-"&amp;BL144)</f>
        <v>-</v>
      </c>
      <c r="AI144" s="1021"/>
      <c r="AJ144" s="1021"/>
      <c r="AK144" s="1021"/>
      <c r="AL144" s="1021"/>
      <c r="AM144" s="1021"/>
      <c r="AN144" s="1022"/>
      <c r="AO144" s="986">
        <f>IF(ISERROR(1-(BC144/'&lt;参考&gt;●現在の業務の総コスト'!$G$28)),0,1-(BC144/'&lt;参考&gt;●現在の業務の総コスト'!$G$28))</f>
        <v>0</v>
      </c>
      <c r="AP144" s="987"/>
      <c r="AQ144" s="988"/>
      <c r="AR144" s="962">
        <f>-(BH144*基礎情報!$Q$4)+AH145</f>
        <v>0</v>
      </c>
      <c r="AS144" s="963"/>
      <c r="AT144" s="963"/>
      <c r="AU144" s="963"/>
      <c r="AV144" s="964"/>
      <c r="AX144" s="574">
        <f>'&lt;参考&gt;●現在の業務の総コスト'!$G28</f>
        <v>0</v>
      </c>
      <c r="AY144" s="326">
        <f t="shared" si="33"/>
        <v>0</v>
      </c>
      <c r="AZ144" s="326">
        <f t="shared" si="34"/>
        <v>0</v>
      </c>
      <c r="BA144" s="326">
        <f t="shared" si="35"/>
        <v>0</v>
      </c>
      <c r="BB144" s="573" t="str">
        <f t="shared" si="36"/>
        <v>-</v>
      </c>
      <c r="BC144" s="82">
        <f>(●計算表!$D$310*(1-$AB$131))+(●計算表!$P$310*$AB$131)</f>
        <v>0</v>
      </c>
      <c r="BD144" s="326">
        <f t="shared" si="37"/>
        <v>0</v>
      </c>
      <c r="BE144" s="326">
        <f t="shared" si="38"/>
        <v>0</v>
      </c>
      <c r="BF144" s="326">
        <f t="shared" si="21"/>
        <v>0</v>
      </c>
      <c r="BG144" s="573" t="str">
        <f t="shared" si="22"/>
        <v>-</v>
      </c>
      <c r="BH144" s="574">
        <f>'&lt;参考&gt;●現在の業務の総コスト'!$G$28-BC144</f>
        <v>0</v>
      </c>
      <c r="BI144" s="574">
        <f t="shared" si="39"/>
        <v>0</v>
      </c>
      <c r="BJ144" s="574">
        <f t="shared" si="40"/>
        <v>0</v>
      </c>
      <c r="BK144" s="574">
        <f t="shared" si="27"/>
        <v>0</v>
      </c>
      <c r="BL144" s="573" t="str">
        <f t="shared" si="28"/>
        <v>-</v>
      </c>
    </row>
    <row r="145" spans="3:70" ht="20.100000000000001" customHeight="1" thickBot="1">
      <c r="C145" s="699"/>
      <c r="D145" s="700"/>
      <c r="E145" s="700"/>
      <c r="F145" s="700"/>
      <c r="G145" s="700"/>
      <c r="H145" s="1090"/>
      <c r="I145" s="1091"/>
      <c r="J145" s="1091"/>
      <c r="K145" s="1091"/>
      <c r="L145" s="1091"/>
      <c r="M145" s="1084" t="s">
        <v>154</v>
      </c>
      <c r="N145" s="1085"/>
      <c r="O145" s="1086"/>
      <c r="P145" s="1018">
        <f>'&lt;参考&gt;●現在の業務の総コスト'!$N$27</f>
        <v>0</v>
      </c>
      <c r="Q145" s="1018"/>
      <c r="R145" s="1018"/>
      <c r="S145" s="1018"/>
      <c r="T145" s="1018"/>
      <c r="U145" s="1018"/>
      <c r="V145" s="1019"/>
      <c r="Y145" s="1017">
        <f>(●計算表!$D$316*(1-$AB$131))+(●計算表!$P$316*$AB$131)</f>
        <v>0</v>
      </c>
      <c r="Z145" s="1018"/>
      <c r="AA145" s="1018"/>
      <c r="AB145" s="1018"/>
      <c r="AC145" s="1018"/>
      <c r="AD145" s="1018"/>
      <c r="AE145" s="1019"/>
      <c r="AH145" s="1029">
        <f>-(P145-Y145)</f>
        <v>0</v>
      </c>
      <c r="AI145" s="1030"/>
      <c r="AJ145" s="1030"/>
      <c r="AK145" s="1030"/>
      <c r="AL145" s="1030"/>
      <c r="AM145" s="1030"/>
      <c r="AN145" s="1031"/>
      <c r="AO145" s="977">
        <f>IF(ISERROR(1-(Y145/P145)),0,1-(Y145/P145))</f>
        <v>0</v>
      </c>
      <c r="AP145" s="978"/>
      <c r="AQ145" s="979"/>
      <c r="AR145" s="965"/>
      <c r="AS145" s="966"/>
      <c r="AT145" s="966"/>
      <c r="AU145" s="966"/>
      <c r="AV145" s="967"/>
      <c r="AY145" s="326">
        <f t="shared" si="33"/>
        <v>0</v>
      </c>
      <c r="AZ145" s="326">
        <f t="shared" si="34"/>
        <v>0</v>
      </c>
      <c r="BA145" s="326">
        <f t="shared" si="35"/>
        <v>0</v>
      </c>
      <c r="BB145" s="573" t="str">
        <f t="shared" si="36"/>
        <v>-</v>
      </c>
      <c r="BC145" s="82"/>
      <c r="BD145" s="326">
        <f t="shared" si="37"/>
        <v>0</v>
      </c>
      <c r="BE145" s="326">
        <f t="shared" si="38"/>
        <v>0</v>
      </c>
      <c r="BF145" s="326">
        <f t="shared" si="21"/>
        <v>0</v>
      </c>
      <c r="BG145" s="573" t="str">
        <f t="shared" si="22"/>
        <v>-</v>
      </c>
      <c r="BH145" s="574"/>
      <c r="BI145" s="574">
        <f t="shared" si="39"/>
        <v>0</v>
      </c>
      <c r="BJ145" s="574">
        <f t="shared" si="40"/>
        <v>0</v>
      </c>
      <c r="BK145" s="574">
        <f t="shared" si="27"/>
        <v>0</v>
      </c>
      <c r="BL145" s="573" t="str">
        <f t="shared" si="28"/>
        <v>-</v>
      </c>
    </row>
    <row r="146" spans="3:70" ht="20.100000000000001" customHeight="1">
      <c r="C146" s="697" t="s">
        <v>160</v>
      </c>
      <c r="D146" s="698"/>
      <c r="E146" s="698"/>
      <c r="F146" s="698"/>
      <c r="G146" s="698"/>
      <c r="H146" s="1268">
        <f>'&lt;参考&gt;●現在の業務の総コスト'!$O$6</f>
        <v>0</v>
      </c>
      <c r="I146" s="1269"/>
      <c r="J146" s="1269"/>
      <c r="K146" s="1269"/>
      <c r="L146" s="1269"/>
      <c r="M146" s="1270" t="s">
        <v>150</v>
      </c>
      <c r="N146" s="1271"/>
      <c r="O146" s="1272"/>
      <c r="P146" s="1239" t="str">
        <f>BB146</f>
        <v>-</v>
      </c>
      <c r="Q146" s="1239"/>
      <c r="R146" s="1239"/>
      <c r="S146" s="1239"/>
      <c r="T146" s="1239"/>
      <c r="U146" s="1239"/>
      <c r="V146" s="1240"/>
      <c r="Y146" s="1023" t="str">
        <f>BG146</f>
        <v>-</v>
      </c>
      <c r="Z146" s="1024"/>
      <c r="AA146" s="1024"/>
      <c r="AB146" s="1024"/>
      <c r="AC146" s="1024"/>
      <c r="AD146" s="1024"/>
      <c r="AE146" s="1025"/>
      <c r="AH146" s="1020" t="str">
        <f>IF(BL146="-",BL146,"-"&amp;BL146)</f>
        <v>-</v>
      </c>
      <c r="AI146" s="1021"/>
      <c r="AJ146" s="1021"/>
      <c r="AK146" s="1021"/>
      <c r="AL146" s="1021"/>
      <c r="AM146" s="1021"/>
      <c r="AN146" s="1022"/>
      <c r="AO146" s="986">
        <f>IF(ISERROR(1-(BC146/'&lt;参考&gt;●現在の業務の総コスト'!$G$30)),0,1-(BC146/'&lt;参考&gt;●現在の業務の総コスト'!$G$30))</f>
        <v>0</v>
      </c>
      <c r="AP146" s="987"/>
      <c r="AQ146" s="988"/>
      <c r="AR146" s="962">
        <f>-(BH146*基礎情報!$Q$4)+AH147</f>
        <v>0</v>
      </c>
      <c r="AS146" s="963"/>
      <c r="AT146" s="963"/>
      <c r="AU146" s="963"/>
      <c r="AV146" s="964"/>
      <c r="AX146" s="574">
        <f>'&lt;参考&gt;●現在の業務の総コスト'!$G30</f>
        <v>0</v>
      </c>
      <c r="AY146" s="326">
        <f t="shared" si="33"/>
        <v>0</v>
      </c>
      <c r="AZ146" s="326">
        <f t="shared" si="34"/>
        <v>0</v>
      </c>
      <c r="BA146" s="326">
        <f t="shared" si="35"/>
        <v>0</v>
      </c>
      <c r="BB146" s="573" t="str">
        <f t="shared" si="36"/>
        <v>-</v>
      </c>
      <c r="BC146" s="82">
        <f>(●計算表!$D$367*(1-$AB$131))+(●計算表!$P$367*$AB$131)</f>
        <v>0</v>
      </c>
      <c r="BD146" s="326">
        <f t="shared" si="37"/>
        <v>0</v>
      </c>
      <c r="BE146" s="326">
        <f t="shared" si="38"/>
        <v>0</v>
      </c>
      <c r="BF146" s="326">
        <f t="shared" si="21"/>
        <v>0</v>
      </c>
      <c r="BG146" s="573" t="str">
        <f t="shared" si="22"/>
        <v>-</v>
      </c>
      <c r="BH146" s="574">
        <f>'&lt;参考&gt;●現在の業務の総コスト'!$G$30-BC146</f>
        <v>0</v>
      </c>
      <c r="BI146" s="574">
        <f t="shared" si="39"/>
        <v>0</v>
      </c>
      <c r="BJ146" s="574">
        <f t="shared" si="40"/>
        <v>0</v>
      </c>
      <c r="BK146" s="574">
        <f t="shared" si="27"/>
        <v>0</v>
      </c>
      <c r="BL146" s="573" t="str">
        <f t="shared" si="28"/>
        <v>-</v>
      </c>
    </row>
    <row r="147" spans="3:70" ht="20.100000000000001" customHeight="1" thickBot="1">
      <c r="C147" s="1302"/>
      <c r="D147" s="1303"/>
      <c r="E147" s="1303"/>
      <c r="F147" s="1303"/>
      <c r="G147" s="1303"/>
      <c r="H147" s="1300"/>
      <c r="I147" s="1301"/>
      <c r="J147" s="1301"/>
      <c r="K147" s="1301"/>
      <c r="L147" s="1301"/>
      <c r="M147" s="1084" t="s">
        <v>154</v>
      </c>
      <c r="N147" s="1085"/>
      <c r="O147" s="1086"/>
      <c r="P147" s="1305">
        <f>'&lt;参考&gt;●現在の業務の総コスト'!$N$29</f>
        <v>0</v>
      </c>
      <c r="Q147" s="1305"/>
      <c r="R147" s="1305"/>
      <c r="S147" s="1305"/>
      <c r="T147" s="1305"/>
      <c r="U147" s="1305"/>
      <c r="V147" s="1306"/>
      <c r="Y147" s="1017">
        <f>(●計算表!$D$373*(1-$AB$131))+(●計算表!$P$373*$AB$131)</f>
        <v>0</v>
      </c>
      <c r="Z147" s="1018"/>
      <c r="AA147" s="1018"/>
      <c r="AB147" s="1018"/>
      <c r="AC147" s="1018"/>
      <c r="AD147" s="1018"/>
      <c r="AE147" s="1019"/>
      <c r="AH147" s="1029">
        <f>-(P147-Y147)</f>
        <v>0</v>
      </c>
      <c r="AI147" s="1030"/>
      <c r="AJ147" s="1030"/>
      <c r="AK147" s="1030"/>
      <c r="AL147" s="1030"/>
      <c r="AM147" s="1030"/>
      <c r="AN147" s="1031"/>
      <c r="AO147" s="977">
        <f>IF(ISERROR(1-(Y147/P147)),0,1-(Y147/P147))</f>
        <v>0</v>
      </c>
      <c r="AP147" s="978"/>
      <c r="AQ147" s="979"/>
      <c r="AR147" s="965"/>
      <c r="AS147" s="966"/>
      <c r="AT147" s="966"/>
      <c r="AU147" s="966"/>
      <c r="AV147" s="967"/>
      <c r="AY147" s="326">
        <f t="shared" si="33"/>
        <v>0</v>
      </c>
      <c r="AZ147" s="326">
        <f t="shared" si="34"/>
        <v>0</v>
      </c>
      <c r="BA147" s="326">
        <f t="shared" si="35"/>
        <v>0</v>
      </c>
      <c r="BB147" s="573" t="str">
        <f t="shared" si="36"/>
        <v>-</v>
      </c>
      <c r="BC147" s="82"/>
      <c r="BD147" s="326">
        <f t="shared" si="37"/>
        <v>0</v>
      </c>
      <c r="BE147" s="326">
        <f t="shared" si="38"/>
        <v>0</v>
      </c>
      <c r="BF147" s="326">
        <f t="shared" si="21"/>
        <v>0</v>
      </c>
      <c r="BG147" s="573" t="str">
        <f t="shared" si="22"/>
        <v>-</v>
      </c>
      <c r="BH147" s="574"/>
      <c r="BI147" s="574">
        <f t="shared" si="39"/>
        <v>0</v>
      </c>
      <c r="BJ147" s="574">
        <f t="shared" si="40"/>
        <v>0</v>
      </c>
      <c r="BK147" s="574">
        <f t="shared" si="27"/>
        <v>0</v>
      </c>
      <c r="BL147" s="573" t="str">
        <f t="shared" si="28"/>
        <v>-</v>
      </c>
    </row>
    <row r="148" spans="3:70" ht="20.100000000000001" customHeight="1">
      <c r="C148" s="697" t="s">
        <v>728</v>
      </c>
      <c r="D148" s="698"/>
      <c r="E148" s="698"/>
      <c r="F148" s="698"/>
      <c r="G148" s="698"/>
      <c r="H148" s="698"/>
      <c r="I148" s="698"/>
      <c r="J148" s="698"/>
      <c r="K148" s="698"/>
      <c r="L148" s="1282"/>
      <c r="M148" s="1270" t="s">
        <v>150</v>
      </c>
      <c r="N148" s="1271"/>
      <c r="O148" s="1272"/>
      <c r="P148" s="1239" t="str">
        <f>BB148</f>
        <v>3時間</v>
      </c>
      <c r="Q148" s="1239"/>
      <c r="R148" s="1239"/>
      <c r="S148" s="1239"/>
      <c r="T148" s="1239"/>
      <c r="U148" s="1239"/>
      <c r="V148" s="1240"/>
      <c r="Y148" s="1023" t="str">
        <f>BG148</f>
        <v>3時間</v>
      </c>
      <c r="Z148" s="1024"/>
      <c r="AA148" s="1024"/>
      <c r="AB148" s="1024"/>
      <c r="AC148" s="1024"/>
      <c r="AD148" s="1024"/>
      <c r="AE148" s="1025"/>
      <c r="AH148" s="1020" t="str">
        <f>IF(BL148="-",BL148,"-"&amp;BL148)</f>
        <v>-</v>
      </c>
      <c r="AI148" s="1021"/>
      <c r="AJ148" s="1021"/>
      <c r="AK148" s="1021"/>
      <c r="AL148" s="1021"/>
      <c r="AM148" s="1021"/>
      <c r="AN148" s="1022"/>
      <c r="AO148" s="986">
        <f>IF(ISERROR(1-(BC148/'&lt;参考&gt;●現在の業務の総コスト'!$G$32)),0,1-(BC148/'&lt;参考&gt;●現在の業務の総コスト'!$G$32))</f>
        <v>0</v>
      </c>
      <c r="AP148" s="987"/>
      <c r="AQ148" s="988"/>
      <c r="AR148" s="962">
        <f>-(BH148*基礎情報!$Q$4)+AH149</f>
        <v>-72000</v>
      </c>
      <c r="AS148" s="963"/>
      <c r="AT148" s="963"/>
      <c r="AU148" s="963"/>
      <c r="AV148" s="964"/>
      <c r="AX148" s="574">
        <f>'&lt;参考&gt;●現在の業務の総コスト'!$G32</f>
        <v>180</v>
      </c>
      <c r="AY148" s="326">
        <f t="shared" si="33"/>
        <v>0</v>
      </c>
      <c r="AZ148" s="326">
        <f t="shared" si="34"/>
        <v>3</v>
      </c>
      <c r="BA148" s="326">
        <f t="shared" si="35"/>
        <v>0</v>
      </c>
      <c r="BB148" s="573" t="str">
        <f t="shared" si="36"/>
        <v>3時間</v>
      </c>
      <c r="BC148" s="82">
        <f>(●計算表!$D$383*(1-$S$84))+(●計算表!$P$383*$S$84)</f>
        <v>180</v>
      </c>
      <c r="BD148" s="326">
        <f t="shared" si="37"/>
        <v>0</v>
      </c>
      <c r="BE148" s="326">
        <f t="shared" si="38"/>
        <v>3</v>
      </c>
      <c r="BF148" s="326">
        <f t="shared" si="21"/>
        <v>0</v>
      </c>
      <c r="BG148" s="573" t="str">
        <f t="shared" si="22"/>
        <v>3時間</v>
      </c>
      <c r="BH148" s="574">
        <f>'&lt;参考&gt;●現在の業務の総コスト'!$G$32-BC148</f>
        <v>0</v>
      </c>
      <c r="BI148" s="574">
        <f t="shared" si="39"/>
        <v>0</v>
      </c>
      <c r="BJ148" s="574">
        <f t="shared" si="40"/>
        <v>0</v>
      </c>
      <c r="BK148" s="574">
        <f t="shared" si="27"/>
        <v>0</v>
      </c>
      <c r="BL148" s="573" t="str">
        <f t="shared" si="28"/>
        <v>-</v>
      </c>
      <c r="BN148" s="340"/>
      <c r="BO148" s="340"/>
      <c r="BP148" s="340"/>
      <c r="BQ148" s="340"/>
      <c r="BR148" s="340"/>
    </row>
    <row r="149" spans="3:70" ht="20.100000000000001" customHeight="1" thickBot="1">
      <c r="C149" s="699"/>
      <c r="D149" s="700"/>
      <c r="E149" s="700"/>
      <c r="F149" s="700"/>
      <c r="G149" s="700"/>
      <c r="H149" s="700"/>
      <c r="I149" s="700"/>
      <c r="J149" s="700"/>
      <c r="K149" s="700"/>
      <c r="L149" s="1283"/>
      <c r="M149" s="1084" t="s">
        <v>154</v>
      </c>
      <c r="N149" s="1085"/>
      <c r="O149" s="1086"/>
      <c r="P149" s="1018">
        <f>'&lt;参考&gt;●現在の業務の総コスト'!$N$31</f>
        <v>120000</v>
      </c>
      <c r="Q149" s="1018"/>
      <c r="R149" s="1018"/>
      <c r="S149" s="1018"/>
      <c r="T149" s="1018"/>
      <c r="U149" s="1018"/>
      <c r="V149" s="1019"/>
      <c r="Y149" s="1017">
        <f>(●計算表!$D$391*(1-$S$131))+(●計算表!$P$391*$S$131)</f>
        <v>48000</v>
      </c>
      <c r="Z149" s="1018"/>
      <c r="AA149" s="1018"/>
      <c r="AB149" s="1018"/>
      <c r="AC149" s="1018"/>
      <c r="AD149" s="1018"/>
      <c r="AE149" s="1019"/>
      <c r="AH149" s="1029">
        <f>-(P149-Y149)</f>
        <v>-72000</v>
      </c>
      <c r="AI149" s="1030"/>
      <c r="AJ149" s="1030"/>
      <c r="AK149" s="1030"/>
      <c r="AL149" s="1030"/>
      <c r="AM149" s="1030"/>
      <c r="AN149" s="1031"/>
      <c r="AO149" s="977">
        <f>IF(ISERROR(1-(Y149/P149)),0,1-(Y149/P149))</f>
        <v>0.6</v>
      </c>
      <c r="AP149" s="978"/>
      <c r="AQ149" s="979"/>
      <c r="AR149" s="965"/>
      <c r="AS149" s="966"/>
      <c r="AT149" s="966"/>
      <c r="AU149" s="966"/>
      <c r="AV149" s="967"/>
      <c r="BC149" s="82"/>
      <c r="BD149" s="326">
        <f t="shared" si="37"/>
        <v>0</v>
      </c>
      <c r="BE149" s="326">
        <f t="shared" si="38"/>
        <v>0</v>
      </c>
      <c r="BF149" s="326">
        <f t="shared" si="21"/>
        <v>0</v>
      </c>
      <c r="BG149" s="573" t="str">
        <f t="shared" si="22"/>
        <v>-</v>
      </c>
      <c r="BH149" s="574"/>
      <c r="BI149" s="574">
        <f t="shared" si="39"/>
        <v>0</v>
      </c>
      <c r="BJ149" s="574">
        <f t="shared" si="40"/>
        <v>0</v>
      </c>
      <c r="BK149" s="574">
        <f t="shared" si="27"/>
        <v>0</v>
      </c>
      <c r="BL149" s="573" t="str">
        <f t="shared" si="28"/>
        <v>-</v>
      </c>
    </row>
    <row r="150" spans="3:70" ht="20.100000000000001" customHeight="1">
      <c r="C150" s="989" t="s">
        <v>161</v>
      </c>
      <c r="D150" s="990"/>
      <c r="E150" s="990"/>
      <c r="F150" s="990"/>
      <c r="G150" s="990"/>
      <c r="H150" s="990"/>
      <c r="I150" s="990"/>
      <c r="J150" s="990"/>
      <c r="K150" s="990"/>
      <c r="L150" s="990"/>
      <c r="M150" s="990"/>
      <c r="N150" s="990"/>
      <c r="O150" s="991"/>
      <c r="P150" s="1273" t="str">
        <f>BB150</f>
        <v>315日3時間</v>
      </c>
      <c r="Q150" s="1239"/>
      <c r="R150" s="1239"/>
      <c r="S150" s="1239"/>
      <c r="T150" s="1239"/>
      <c r="U150" s="1239"/>
      <c r="V150" s="1240"/>
      <c r="Y150" s="1023" t="str">
        <f>BG150</f>
        <v>270日3時間</v>
      </c>
      <c r="Z150" s="1024"/>
      <c r="AA150" s="1024"/>
      <c r="AB150" s="1024"/>
      <c r="AC150" s="1024"/>
      <c r="AD150" s="1024"/>
      <c r="AE150" s="1025"/>
      <c r="AH150" s="1020" t="str">
        <f>IF(BL150="-",BL150,"-"&amp;BL150)</f>
        <v>-45日</v>
      </c>
      <c r="AI150" s="1021"/>
      <c r="AJ150" s="1021"/>
      <c r="AK150" s="1021"/>
      <c r="AL150" s="1021"/>
      <c r="AM150" s="1021"/>
      <c r="AN150" s="1022"/>
      <c r="AO150" s="986">
        <f>IF(ISERROR(1-(BC150/'&lt;参考&gt;●現在の業務の総コスト'!$G$33)),0,1-(BC150/'&lt;参考&gt;●現在の業務の総コスト'!$G$33))</f>
        <v>0.1426872770511296</v>
      </c>
      <c r="AP150" s="987"/>
      <c r="AQ150" s="988"/>
      <c r="AR150" s="484"/>
      <c r="AS150" s="485"/>
      <c r="AT150" s="485"/>
      <c r="AU150" s="485"/>
      <c r="AV150" s="485"/>
      <c r="AX150" s="574">
        <f>'&lt;参考&gt;●現在の業務の総コスト'!$G33</f>
        <v>151380</v>
      </c>
      <c r="AY150" s="326">
        <f>INT(AX150/$AY$6/60)</f>
        <v>315</v>
      </c>
      <c r="AZ150" s="326">
        <f>INT((AX150-AY150*60*$AY$6)/60)</f>
        <v>3</v>
      </c>
      <c r="BA150" s="326">
        <f>ROUND(MOD(AX150,60),0)</f>
        <v>0</v>
      </c>
      <c r="BB150" s="573" t="str">
        <f>IF(AX150=0,"-",IF(AY150=0,"",AY150&amp;"日")&amp;IF(AZ150=0,"",AZ150&amp;"時間")&amp;IF(BA150=0,"",BA150&amp;"分"))</f>
        <v>315日3時間</v>
      </c>
      <c r="BC150" s="82">
        <f>SUM(BC136:BC148)</f>
        <v>129780</v>
      </c>
      <c r="BD150" s="326">
        <f t="shared" si="37"/>
        <v>270</v>
      </c>
      <c r="BE150" s="326">
        <f t="shared" si="38"/>
        <v>3</v>
      </c>
      <c r="BF150" s="326">
        <f t="shared" si="21"/>
        <v>0</v>
      </c>
      <c r="BG150" s="573" t="str">
        <f t="shared" si="22"/>
        <v>270日3時間</v>
      </c>
      <c r="BH150" s="574">
        <f>'&lt;参考&gt;●現在の業務の総コスト'!$G$33-BC150</f>
        <v>21600</v>
      </c>
      <c r="BI150" s="574">
        <f t="shared" si="39"/>
        <v>45</v>
      </c>
      <c r="BJ150" s="574">
        <f t="shared" si="40"/>
        <v>0</v>
      </c>
      <c r="BK150" s="574">
        <f t="shared" si="27"/>
        <v>0</v>
      </c>
      <c r="BL150" s="573" t="str">
        <f t="shared" si="28"/>
        <v>45日</v>
      </c>
    </row>
    <row r="151" spans="3:70" ht="20.100000000000001" customHeight="1" thickBot="1">
      <c r="C151" s="1032" t="s">
        <v>162</v>
      </c>
      <c r="D151" s="1033"/>
      <c r="E151" s="1033"/>
      <c r="F151" s="1033"/>
      <c r="G151" s="1033"/>
      <c r="H151" s="1033"/>
      <c r="I151" s="1033"/>
      <c r="J151" s="1033"/>
      <c r="K151" s="1033"/>
      <c r="L151" s="1033"/>
      <c r="M151" s="1033"/>
      <c r="N151" s="1033"/>
      <c r="O151" s="1034"/>
      <c r="P151" s="1284">
        <f ca="1">SUMIF(M136:V149,"諸経費",P136:V149)</f>
        <v>428160</v>
      </c>
      <c r="Q151" s="1018"/>
      <c r="R151" s="1018"/>
      <c r="S151" s="1018"/>
      <c r="T151" s="1018"/>
      <c r="U151" s="1018"/>
      <c r="V151" s="1019"/>
      <c r="Y151" s="1017">
        <f ca="1">SUMIF(M136:AE149,"諸経費",Y136:AE149)</f>
        <v>171264</v>
      </c>
      <c r="Z151" s="1018"/>
      <c r="AA151" s="1018"/>
      <c r="AB151" s="1018"/>
      <c r="AC151" s="1018"/>
      <c r="AD151" s="1018"/>
      <c r="AE151" s="1019"/>
      <c r="AH151" s="1029">
        <f ca="1">-(P151-Y151)</f>
        <v>-256896</v>
      </c>
      <c r="AI151" s="1030"/>
      <c r="AJ151" s="1030"/>
      <c r="AK151" s="1030"/>
      <c r="AL151" s="1030"/>
      <c r="AM151" s="1030"/>
      <c r="AN151" s="1031"/>
      <c r="AO151" s="977">
        <f ca="1">IF(ISERROR(1-(Y151/P151)),0,1-(Y151/P151))</f>
        <v>0.6</v>
      </c>
      <c r="AP151" s="978"/>
      <c r="AQ151" s="979"/>
      <c r="AR151" s="486"/>
      <c r="AS151" s="487"/>
      <c r="AT151" s="487"/>
      <c r="AU151" s="487"/>
      <c r="AV151" s="487"/>
      <c r="AY151" s="326"/>
      <c r="AZ151" s="326"/>
      <c r="BA151" s="326"/>
      <c r="BB151" s="573"/>
      <c r="BH151" s="574"/>
      <c r="BI151" s="574"/>
      <c r="BJ151" s="574"/>
      <c r="BK151" s="574"/>
    </row>
    <row r="152" spans="3:70" ht="18" customHeight="1">
      <c r="C152" s="1056" t="s">
        <v>164</v>
      </c>
      <c r="D152" s="1057"/>
      <c r="E152" s="1057"/>
      <c r="F152" s="1057"/>
      <c r="G152" s="1057"/>
      <c r="H152" s="1057"/>
      <c r="I152" s="1057"/>
      <c r="J152" s="1057"/>
      <c r="K152" s="1057"/>
      <c r="L152" s="1057"/>
      <c r="M152" s="1057"/>
      <c r="N152" s="1057"/>
      <c r="O152" s="1058"/>
      <c r="P152" s="1045">
        <f ca="1">($AX$25/60)*基礎情報!$J$4+P151</f>
        <v>7997160</v>
      </c>
      <c r="Q152" s="1012"/>
      <c r="R152" s="1012"/>
      <c r="S152" s="1012"/>
      <c r="T152" s="1012"/>
      <c r="U152" s="1012"/>
      <c r="V152" s="1013"/>
      <c r="Y152" s="1011">
        <f ca="1">(BC150/60)*基礎情報!$J$4+Y151</f>
        <v>6660264</v>
      </c>
      <c r="Z152" s="1012"/>
      <c r="AA152" s="1012"/>
      <c r="AB152" s="1012"/>
      <c r="AC152" s="1012"/>
      <c r="AD152" s="1012"/>
      <c r="AE152" s="1013"/>
      <c r="AH152" s="992">
        <f ca="1">-(P152-Y152)</f>
        <v>-1336896</v>
      </c>
      <c r="AI152" s="993"/>
      <c r="AJ152" s="993"/>
      <c r="AK152" s="993"/>
      <c r="AL152" s="993"/>
      <c r="AM152" s="993"/>
      <c r="AN152" s="994"/>
      <c r="AO152" s="980">
        <f ca="1">IF(ISERROR(1-(Y152/P152)),0,1-(Y152/P152))</f>
        <v>0.16717134582776882</v>
      </c>
      <c r="AP152" s="981"/>
      <c r="AQ152" s="982"/>
      <c r="BH152" s="574"/>
      <c r="BI152" s="574"/>
      <c r="BJ152" s="574"/>
      <c r="BK152" s="574"/>
    </row>
    <row r="153" spans="3:70" ht="18" customHeight="1" thickBot="1">
      <c r="C153" s="1059"/>
      <c r="D153" s="1060"/>
      <c r="E153" s="1060"/>
      <c r="F153" s="1060"/>
      <c r="G153" s="1060"/>
      <c r="H153" s="1060"/>
      <c r="I153" s="1060"/>
      <c r="J153" s="1060"/>
      <c r="K153" s="1060"/>
      <c r="L153" s="1060"/>
      <c r="M153" s="1060"/>
      <c r="N153" s="1060"/>
      <c r="O153" s="1061"/>
      <c r="P153" s="1046"/>
      <c r="Q153" s="1015"/>
      <c r="R153" s="1015"/>
      <c r="S153" s="1015"/>
      <c r="T153" s="1015"/>
      <c r="U153" s="1015"/>
      <c r="V153" s="1016"/>
      <c r="Y153" s="1014"/>
      <c r="Z153" s="1015"/>
      <c r="AA153" s="1015"/>
      <c r="AB153" s="1015"/>
      <c r="AC153" s="1015"/>
      <c r="AD153" s="1015"/>
      <c r="AE153" s="1016"/>
      <c r="AH153" s="995"/>
      <c r="AI153" s="996"/>
      <c r="AJ153" s="996"/>
      <c r="AK153" s="996"/>
      <c r="AL153" s="996"/>
      <c r="AM153" s="996"/>
      <c r="AN153" s="997"/>
      <c r="AO153" s="983"/>
      <c r="AP153" s="984"/>
      <c r="AQ153" s="985"/>
      <c r="AR153" s="488"/>
      <c r="AS153" s="340"/>
      <c r="AT153" s="340"/>
      <c r="AU153" s="340"/>
      <c r="AV153" s="340"/>
      <c r="BH153" s="574"/>
      <c r="BI153" s="574"/>
      <c r="BJ153" s="574"/>
      <c r="BK153" s="574"/>
    </row>
    <row r="154" spans="3:70">
      <c r="BH154" s="574"/>
      <c r="BI154" s="574"/>
      <c r="BJ154" s="574"/>
      <c r="BK154" s="574"/>
    </row>
    <row r="155" spans="3:70">
      <c r="BH155" s="574"/>
      <c r="BI155" s="574"/>
      <c r="BJ155" s="574"/>
      <c r="BK155" s="574"/>
    </row>
    <row r="156" spans="3:70">
      <c r="BH156" s="574"/>
      <c r="BI156" s="574"/>
      <c r="BJ156" s="574"/>
      <c r="BK156" s="574"/>
    </row>
    <row r="157" spans="3:70">
      <c r="BH157" s="574"/>
      <c r="BI157" s="574"/>
      <c r="BJ157" s="574"/>
      <c r="BK157" s="574"/>
    </row>
  </sheetData>
  <sheetProtection password="CF68" sheet="1"/>
  <mergeCells count="534">
    <mergeCell ref="AO125:AQ125"/>
    <mergeCell ref="AH148:AN148"/>
    <mergeCell ref="AO148:AQ148"/>
    <mergeCell ref="M124:O124"/>
    <mergeCell ref="P124:V124"/>
    <mergeCell ref="Y124:AE124"/>
    <mergeCell ref="AB131:AD132"/>
    <mergeCell ref="P140:V140"/>
    <mergeCell ref="P146:V146"/>
    <mergeCell ref="P147:V147"/>
    <mergeCell ref="AO101:AQ101"/>
    <mergeCell ref="Y100:AE100"/>
    <mergeCell ref="AH100:AN100"/>
    <mergeCell ref="P100:V100"/>
    <mergeCell ref="C148:L149"/>
    <mergeCell ref="M148:O148"/>
    <mergeCell ref="P148:V148"/>
    <mergeCell ref="Y148:AE148"/>
    <mergeCell ref="M149:O149"/>
    <mergeCell ref="P149:V149"/>
    <mergeCell ref="P152:V153"/>
    <mergeCell ref="S83:U84"/>
    <mergeCell ref="AB83:AD84"/>
    <mergeCell ref="V83:AA84"/>
    <mergeCell ref="S107:U108"/>
    <mergeCell ref="V107:AA108"/>
    <mergeCell ref="AB107:AD108"/>
    <mergeCell ref="S131:U132"/>
    <mergeCell ref="V131:AA132"/>
    <mergeCell ref="P150:V150"/>
    <mergeCell ref="P142:V142"/>
    <mergeCell ref="P143:V143"/>
    <mergeCell ref="P151:V151"/>
    <mergeCell ref="P141:V141"/>
    <mergeCell ref="P138:V138"/>
    <mergeCell ref="P139:V139"/>
    <mergeCell ref="P144:V144"/>
    <mergeCell ref="P145:V145"/>
    <mergeCell ref="C144:G145"/>
    <mergeCell ref="H144:L145"/>
    <mergeCell ref="M144:O144"/>
    <mergeCell ref="M145:O145"/>
    <mergeCell ref="M139:O139"/>
    <mergeCell ref="C140:G141"/>
    <mergeCell ref="H140:L141"/>
    <mergeCell ref="M143:O143"/>
    <mergeCell ref="C138:G139"/>
    <mergeCell ref="H138:L139"/>
    <mergeCell ref="C146:G147"/>
    <mergeCell ref="H146:L147"/>
    <mergeCell ref="M146:O146"/>
    <mergeCell ref="M147:O147"/>
    <mergeCell ref="C136:G137"/>
    <mergeCell ref="H136:L137"/>
    <mergeCell ref="M136:O136"/>
    <mergeCell ref="C142:G143"/>
    <mergeCell ref="H142:L143"/>
    <mergeCell ref="M142:O142"/>
    <mergeCell ref="M138:O138"/>
    <mergeCell ref="B131:H132"/>
    <mergeCell ref="I131:J132"/>
    <mergeCell ref="K131:M132"/>
    <mergeCell ref="M140:O140"/>
    <mergeCell ref="M141:O141"/>
    <mergeCell ref="C134:G135"/>
    <mergeCell ref="H134:L135"/>
    <mergeCell ref="M134:O135"/>
    <mergeCell ref="M121:O121"/>
    <mergeCell ref="P121:V121"/>
    <mergeCell ref="P125:V125"/>
    <mergeCell ref="C122:G123"/>
    <mergeCell ref="H122:L123"/>
    <mergeCell ref="K83:M84"/>
    <mergeCell ref="M97:O97"/>
    <mergeCell ref="M98:O98"/>
    <mergeCell ref="M95:O95"/>
    <mergeCell ref="M96:O96"/>
    <mergeCell ref="C90:G91"/>
    <mergeCell ref="M88:O88"/>
    <mergeCell ref="P96:V96"/>
    <mergeCell ref="P97:V97"/>
    <mergeCell ref="M92:O92"/>
    <mergeCell ref="M93:O93"/>
    <mergeCell ref="M94:O94"/>
    <mergeCell ref="C92:G93"/>
    <mergeCell ref="C94:G95"/>
    <mergeCell ref="AO152:AQ153"/>
    <mergeCell ref="AH149:AN149"/>
    <mergeCell ref="P119:V119"/>
    <mergeCell ref="P89:V89"/>
    <mergeCell ref="P92:V92"/>
    <mergeCell ref="P93:V93"/>
    <mergeCell ref="P90:V90"/>
    <mergeCell ref="P91:V91"/>
    <mergeCell ref="P103:V103"/>
    <mergeCell ref="P98:V98"/>
    <mergeCell ref="Y151:AE151"/>
    <mergeCell ref="Y152:AE153"/>
    <mergeCell ref="Y150:AE150"/>
    <mergeCell ref="AH147:AN147"/>
    <mergeCell ref="Y147:AE147"/>
    <mergeCell ref="AH152:AN153"/>
    <mergeCell ref="Y149:AE149"/>
    <mergeCell ref="AO149:AQ149"/>
    <mergeCell ref="AH151:AN151"/>
    <mergeCell ref="AO145:AQ145"/>
    <mergeCell ref="AH138:AN138"/>
    <mergeCell ref="AO138:AQ138"/>
    <mergeCell ref="AH139:AN139"/>
    <mergeCell ref="AO151:AQ151"/>
    <mergeCell ref="AO147:AQ147"/>
    <mergeCell ref="AO144:AQ144"/>
    <mergeCell ref="AH140:AN140"/>
    <mergeCell ref="AO140:AQ140"/>
    <mergeCell ref="Y142:AE142"/>
    <mergeCell ref="Y143:AE143"/>
    <mergeCell ref="C126:O126"/>
    <mergeCell ref="P126:V126"/>
    <mergeCell ref="Y126:AE126"/>
    <mergeCell ref="N131:R132"/>
    <mergeCell ref="M137:O137"/>
    <mergeCell ref="P127:V127"/>
    <mergeCell ref="AH127:AN127"/>
    <mergeCell ref="C124:L125"/>
    <mergeCell ref="M125:O125"/>
    <mergeCell ref="Y140:AE140"/>
    <mergeCell ref="P128:V129"/>
    <mergeCell ref="C127:O127"/>
    <mergeCell ref="C128:O129"/>
    <mergeCell ref="P134:V135"/>
    <mergeCell ref="Y125:AE125"/>
    <mergeCell ref="P136:V136"/>
    <mergeCell ref="P137:V137"/>
    <mergeCell ref="AO122:AQ122"/>
    <mergeCell ref="AH123:AN123"/>
    <mergeCell ref="AO123:AQ123"/>
    <mergeCell ref="Y122:AE122"/>
    <mergeCell ref="Y123:AE123"/>
    <mergeCell ref="M122:O122"/>
    <mergeCell ref="P122:V122"/>
    <mergeCell ref="M123:O123"/>
    <mergeCell ref="P123:V123"/>
    <mergeCell ref="AH125:AN125"/>
    <mergeCell ref="AO124:AQ124"/>
    <mergeCell ref="M115:O115"/>
    <mergeCell ref="AH116:AN116"/>
    <mergeCell ref="Y116:AE116"/>
    <mergeCell ref="AH117:AN117"/>
    <mergeCell ref="AH120:AN120"/>
    <mergeCell ref="AO120:AQ120"/>
    <mergeCell ref="AO117:AQ117"/>
    <mergeCell ref="M118:O118"/>
    <mergeCell ref="M120:O120"/>
    <mergeCell ref="P115:V115"/>
    <mergeCell ref="M116:O116"/>
    <mergeCell ref="P116:V116"/>
    <mergeCell ref="M117:O117"/>
    <mergeCell ref="P117:V117"/>
    <mergeCell ref="P118:V118"/>
    <mergeCell ref="P120:V120"/>
    <mergeCell ref="M119:O119"/>
    <mergeCell ref="AO115:AQ115"/>
    <mergeCell ref="AO116:AQ116"/>
    <mergeCell ref="M114:O114"/>
    <mergeCell ref="P114:V114"/>
    <mergeCell ref="I83:J84"/>
    <mergeCell ref="AH103:AN103"/>
    <mergeCell ref="AO103:AQ103"/>
    <mergeCell ref="AO104:AQ105"/>
    <mergeCell ref="AH102:AN102"/>
    <mergeCell ref="N83:R84"/>
    <mergeCell ref="H116:L117"/>
    <mergeCell ref="C103:O103"/>
    <mergeCell ref="C102:O102"/>
    <mergeCell ref="H98:L99"/>
    <mergeCell ref="M99:O99"/>
    <mergeCell ref="C96:G97"/>
    <mergeCell ref="M101:O101"/>
    <mergeCell ref="C98:G99"/>
    <mergeCell ref="C116:G117"/>
    <mergeCell ref="H112:L113"/>
    <mergeCell ref="AH104:AN105"/>
    <mergeCell ref="AH110:AN111"/>
    <mergeCell ref="Y104:AE105"/>
    <mergeCell ref="B83:H84"/>
    <mergeCell ref="H88:L89"/>
    <mergeCell ref="C88:G89"/>
    <mergeCell ref="C86:G87"/>
    <mergeCell ref="P99:V99"/>
    <mergeCell ref="P102:V102"/>
    <mergeCell ref="H92:L93"/>
    <mergeCell ref="AO102:AQ102"/>
    <mergeCell ref="C100:L101"/>
    <mergeCell ref="M100:O100"/>
    <mergeCell ref="P95:V95"/>
    <mergeCell ref="H96:L97"/>
    <mergeCell ref="AO100:AQ100"/>
    <mergeCell ref="P101:V101"/>
    <mergeCell ref="Y101:AE101"/>
    <mergeCell ref="H94:L95"/>
    <mergeCell ref="P94:V94"/>
    <mergeCell ref="Y114:AE114"/>
    <mergeCell ref="AO121:AQ121"/>
    <mergeCell ref="AO110:AQ111"/>
    <mergeCell ref="Y113:AE113"/>
    <mergeCell ref="AH119:AN119"/>
    <mergeCell ref="Y110:AE111"/>
    <mergeCell ref="AH115:AN115"/>
    <mergeCell ref="Y115:AE115"/>
    <mergeCell ref="Y112:AE112"/>
    <mergeCell ref="AO114:AQ114"/>
    <mergeCell ref="AO113:AQ113"/>
    <mergeCell ref="AH121:AN121"/>
    <mergeCell ref="Y127:AE127"/>
    <mergeCell ref="AH112:AN112"/>
    <mergeCell ref="AH113:AN113"/>
    <mergeCell ref="AH114:AN114"/>
    <mergeCell ref="AO126:AQ126"/>
    <mergeCell ref="AO118:AQ118"/>
    <mergeCell ref="AO119:AQ119"/>
    <mergeCell ref="Y117:AE117"/>
    <mergeCell ref="Y120:AE120"/>
    <mergeCell ref="Y121:AE121"/>
    <mergeCell ref="Y118:AE118"/>
    <mergeCell ref="Y119:AE119"/>
    <mergeCell ref="AH118:AN118"/>
    <mergeCell ref="AH124:AN124"/>
    <mergeCell ref="AH122:AN122"/>
    <mergeCell ref="C104:O105"/>
    <mergeCell ref="M112:O112"/>
    <mergeCell ref="Y103:AE103"/>
    <mergeCell ref="P112:V112"/>
    <mergeCell ref="P113:V113"/>
    <mergeCell ref="N107:R108"/>
    <mergeCell ref="M110:O111"/>
    <mergeCell ref="M113:O113"/>
    <mergeCell ref="B107:H108"/>
    <mergeCell ref="F11:J12"/>
    <mergeCell ref="F15:J16"/>
    <mergeCell ref="C118:G119"/>
    <mergeCell ref="C120:G121"/>
    <mergeCell ref="C110:G111"/>
    <mergeCell ref="H110:L111"/>
    <mergeCell ref="H120:L121"/>
    <mergeCell ref="H118:L119"/>
    <mergeCell ref="H114:L115"/>
    <mergeCell ref="C114:G115"/>
    <mergeCell ref="K22:M22"/>
    <mergeCell ref="F13:J14"/>
    <mergeCell ref="K13:M13"/>
    <mergeCell ref="K14:M14"/>
    <mergeCell ref="F17:J18"/>
    <mergeCell ref="K21:M21"/>
    <mergeCell ref="F19:J20"/>
    <mergeCell ref="K16:M16"/>
    <mergeCell ref="K19:M19"/>
    <mergeCell ref="N11:S11"/>
    <mergeCell ref="X11:AB12"/>
    <mergeCell ref="N16:S16"/>
    <mergeCell ref="N17:S17"/>
    <mergeCell ref="N18:S18"/>
    <mergeCell ref="N12:S12"/>
    <mergeCell ref="N13:S13"/>
    <mergeCell ref="N14:S14"/>
    <mergeCell ref="N15:S15"/>
    <mergeCell ref="X13:AB14"/>
    <mergeCell ref="N21:S21"/>
    <mergeCell ref="N9:S10"/>
    <mergeCell ref="N19:S19"/>
    <mergeCell ref="K20:M20"/>
    <mergeCell ref="N20:S20"/>
    <mergeCell ref="K17:M17"/>
    <mergeCell ref="K18:M18"/>
    <mergeCell ref="K12:M12"/>
    <mergeCell ref="K15:M15"/>
    <mergeCell ref="K11:M11"/>
    <mergeCell ref="AJ9:AP10"/>
    <mergeCell ref="AJ11:AP11"/>
    <mergeCell ref="AJ12:AP12"/>
    <mergeCell ref="AJ13:AP13"/>
    <mergeCell ref="X17:AB18"/>
    <mergeCell ref="AJ14:AP14"/>
    <mergeCell ref="AJ15:AP15"/>
    <mergeCell ref="AJ16:AP16"/>
    <mergeCell ref="AJ17:AP17"/>
    <mergeCell ref="X19:AB20"/>
    <mergeCell ref="X15:AB16"/>
    <mergeCell ref="AD9:AI10"/>
    <mergeCell ref="BM11:BN11"/>
    <mergeCell ref="BM12:BN12"/>
    <mergeCell ref="CA11:CC11"/>
    <mergeCell ref="CA12:CC12"/>
    <mergeCell ref="CA13:CC13"/>
    <mergeCell ref="BM14:BN14"/>
    <mergeCell ref="CA14:CC14"/>
    <mergeCell ref="BM13:BN13"/>
    <mergeCell ref="CA18:CC18"/>
    <mergeCell ref="BM19:BN19"/>
    <mergeCell ref="CA19:CC19"/>
    <mergeCell ref="CA15:CC15"/>
    <mergeCell ref="BM16:BN16"/>
    <mergeCell ref="CA16:CC16"/>
    <mergeCell ref="BM17:BN17"/>
    <mergeCell ref="CA17:CC17"/>
    <mergeCell ref="BM18:BN18"/>
    <mergeCell ref="BM15:BN15"/>
    <mergeCell ref="CA22:CC22"/>
    <mergeCell ref="AJ25:AP25"/>
    <mergeCell ref="AJ26:AP26"/>
    <mergeCell ref="BM20:BN20"/>
    <mergeCell ref="CA20:CC20"/>
    <mergeCell ref="BM21:BN21"/>
    <mergeCell ref="CA21:CC21"/>
    <mergeCell ref="AJ22:AP22"/>
    <mergeCell ref="AJ20:AP20"/>
    <mergeCell ref="AJ21:AP21"/>
    <mergeCell ref="K38:M38"/>
    <mergeCell ref="N38:S38"/>
    <mergeCell ref="F39:J40"/>
    <mergeCell ref="AJ18:AP18"/>
    <mergeCell ref="AJ19:AP19"/>
    <mergeCell ref="F21:J22"/>
    <mergeCell ref="K39:M39"/>
    <mergeCell ref="N39:S39"/>
    <mergeCell ref="K40:M40"/>
    <mergeCell ref="N40:S40"/>
    <mergeCell ref="B35:E36"/>
    <mergeCell ref="F35:M36"/>
    <mergeCell ref="N35:S36"/>
    <mergeCell ref="F37:J38"/>
    <mergeCell ref="K37:M37"/>
    <mergeCell ref="N37:S37"/>
    <mergeCell ref="N42:S42"/>
    <mergeCell ref="F43:J44"/>
    <mergeCell ref="K43:M43"/>
    <mergeCell ref="N43:S43"/>
    <mergeCell ref="K44:M44"/>
    <mergeCell ref="N44:S44"/>
    <mergeCell ref="F45:J46"/>
    <mergeCell ref="K45:M45"/>
    <mergeCell ref="N45:S45"/>
    <mergeCell ref="K46:M46"/>
    <mergeCell ref="N46:S46"/>
    <mergeCell ref="B32:S33"/>
    <mergeCell ref="F41:J42"/>
    <mergeCell ref="K41:M41"/>
    <mergeCell ref="N41:S41"/>
    <mergeCell ref="K42:M42"/>
    <mergeCell ref="N22:S22"/>
    <mergeCell ref="X21:AB22"/>
    <mergeCell ref="F47:J48"/>
    <mergeCell ref="K47:M47"/>
    <mergeCell ref="N47:S47"/>
    <mergeCell ref="K48:M48"/>
    <mergeCell ref="N48:S48"/>
    <mergeCell ref="X47:AB48"/>
    <mergeCell ref="X37:AB38"/>
    <mergeCell ref="X39:AB40"/>
    <mergeCell ref="B6:S7"/>
    <mergeCell ref="X6:AP7"/>
    <mergeCell ref="AD19:AI20"/>
    <mergeCell ref="AD21:AI22"/>
    <mergeCell ref="F9:M10"/>
    <mergeCell ref="B9:E10"/>
    <mergeCell ref="X9:AB10"/>
    <mergeCell ref="AD11:AI12"/>
    <mergeCell ref="AD13:AI14"/>
    <mergeCell ref="AD15:AI16"/>
    <mergeCell ref="AC40:AH40"/>
    <mergeCell ref="AQ45:AS45"/>
    <mergeCell ref="AK45:AP45"/>
    <mergeCell ref="AQ39:AS39"/>
    <mergeCell ref="AQ40:AS40"/>
    <mergeCell ref="AQ41:AS41"/>
    <mergeCell ref="AQ43:AS43"/>
    <mergeCell ref="AQ44:AS44"/>
    <mergeCell ref="AK43:AP43"/>
    <mergeCell ref="AK44:AP44"/>
    <mergeCell ref="X45:AB46"/>
    <mergeCell ref="X41:AB42"/>
    <mergeCell ref="X43:AB44"/>
    <mergeCell ref="AQ47:AS47"/>
    <mergeCell ref="AQ48:AS48"/>
    <mergeCell ref="AC45:AH45"/>
    <mergeCell ref="AC46:AH46"/>
    <mergeCell ref="AC47:AH47"/>
    <mergeCell ref="AC48:AH48"/>
    <mergeCell ref="AQ46:AS46"/>
    <mergeCell ref="AD23:AI24"/>
    <mergeCell ref="AJ23:AP23"/>
    <mergeCell ref="AJ24:AP24"/>
    <mergeCell ref="AK40:AP40"/>
    <mergeCell ref="AD25:AI25"/>
    <mergeCell ref="AK41:AP41"/>
    <mergeCell ref="AC35:AH36"/>
    <mergeCell ref="AC37:AH37"/>
    <mergeCell ref="AC38:AH38"/>
    <mergeCell ref="AC39:AH39"/>
    <mergeCell ref="X35:AB36"/>
    <mergeCell ref="BM9:CJ10"/>
    <mergeCell ref="AK35:AP36"/>
    <mergeCell ref="AQ35:AS36"/>
    <mergeCell ref="X32:AS33"/>
    <mergeCell ref="AD27:AI28"/>
    <mergeCell ref="AJ27:AP28"/>
    <mergeCell ref="AD17:AI18"/>
    <mergeCell ref="AD26:AI26"/>
    <mergeCell ref="BM22:BN22"/>
    <mergeCell ref="AQ37:AS37"/>
    <mergeCell ref="AQ38:AS38"/>
    <mergeCell ref="AK37:AP37"/>
    <mergeCell ref="AK38:AP38"/>
    <mergeCell ref="AK39:AP39"/>
    <mergeCell ref="AK42:AP42"/>
    <mergeCell ref="AQ42:AS42"/>
    <mergeCell ref="AO91:AQ91"/>
    <mergeCell ref="AH89:AN89"/>
    <mergeCell ref="AH93:AN93"/>
    <mergeCell ref="AC41:AH41"/>
    <mergeCell ref="AC42:AH42"/>
    <mergeCell ref="AC43:AH43"/>
    <mergeCell ref="AC44:AH44"/>
    <mergeCell ref="AK46:AP46"/>
    <mergeCell ref="AH88:AN88"/>
    <mergeCell ref="AO86:AQ87"/>
    <mergeCell ref="AH86:AN87"/>
    <mergeCell ref="AK48:AP48"/>
    <mergeCell ref="AK47:AP47"/>
    <mergeCell ref="Y86:AE87"/>
    <mergeCell ref="Y88:AE88"/>
    <mergeCell ref="AH90:AN90"/>
    <mergeCell ref="Y89:AE89"/>
    <mergeCell ref="Y90:AE90"/>
    <mergeCell ref="AO127:AQ127"/>
    <mergeCell ref="AO94:AQ94"/>
    <mergeCell ref="AO95:AQ95"/>
    <mergeCell ref="AO96:AQ96"/>
    <mergeCell ref="AO97:AQ97"/>
    <mergeCell ref="AH98:AN98"/>
    <mergeCell ref="AH99:AN99"/>
    <mergeCell ref="AH101:AN101"/>
    <mergeCell ref="AH126:AN126"/>
    <mergeCell ref="AO112:AQ112"/>
    <mergeCell ref="AH91:AN91"/>
    <mergeCell ref="AO90:AQ90"/>
    <mergeCell ref="H86:L87"/>
    <mergeCell ref="M86:O87"/>
    <mergeCell ref="P86:V87"/>
    <mergeCell ref="M89:O89"/>
    <mergeCell ref="M90:O90"/>
    <mergeCell ref="M91:O91"/>
    <mergeCell ref="H90:L91"/>
    <mergeCell ref="P88:V88"/>
    <mergeCell ref="Y91:AE91"/>
    <mergeCell ref="Y98:AE98"/>
    <mergeCell ref="Y99:AE99"/>
    <mergeCell ref="Y102:AE102"/>
    <mergeCell ref="Y94:AE94"/>
    <mergeCell ref="Y95:AE95"/>
    <mergeCell ref="Y92:AE92"/>
    <mergeCell ref="Y93:AE93"/>
    <mergeCell ref="Y96:AE96"/>
    <mergeCell ref="Y97:AE97"/>
    <mergeCell ref="AO92:AQ92"/>
    <mergeCell ref="AO93:AQ93"/>
    <mergeCell ref="AH96:AN96"/>
    <mergeCell ref="AH97:AN97"/>
    <mergeCell ref="AH94:AN94"/>
    <mergeCell ref="AH95:AN95"/>
    <mergeCell ref="AH92:AN92"/>
    <mergeCell ref="C152:O153"/>
    <mergeCell ref="AH136:AN136"/>
    <mergeCell ref="AH137:AN137"/>
    <mergeCell ref="AH141:AN141"/>
    <mergeCell ref="AH145:AN145"/>
    <mergeCell ref="I107:J108"/>
    <mergeCell ref="AH150:AN150"/>
    <mergeCell ref="Y137:AE137"/>
    <mergeCell ref="Y138:AE138"/>
    <mergeCell ref="Y139:AE139"/>
    <mergeCell ref="C151:O151"/>
    <mergeCell ref="AO98:AQ98"/>
    <mergeCell ref="K107:M108"/>
    <mergeCell ref="C112:G113"/>
    <mergeCell ref="P104:V105"/>
    <mergeCell ref="P110:V111"/>
    <mergeCell ref="AO150:AQ150"/>
    <mergeCell ref="Y141:AE141"/>
    <mergeCell ref="AO141:AQ141"/>
    <mergeCell ref="Y144:AE144"/>
    <mergeCell ref="Y146:AE146"/>
    <mergeCell ref="AH142:AN142"/>
    <mergeCell ref="AH146:AN146"/>
    <mergeCell ref="AO142:AQ142"/>
    <mergeCell ref="AH143:AN143"/>
    <mergeCell ref="AO143:AQ143"/>
    <mergeCell ref="AO146:AQ146"/>
    <mergeCell ref="C150:O150"/>
    <mergeCell ref="AH128:AN129"/>
    <mergeCell ref="Y134:AE135"/>
    <mergeCell ref="Y136:AE136"/>
    <mergeCell ref="AH134:AN135"/>
    <mergeCell ref="AO134:AQ135"/>
    <mergeCell ref="AO136:AQ136"/>
    <mergeCell ref="Y128:AE129"/>
    <mergeCell ref="Y145:AE145"/>
    <mergeCell ref="AH144:AN144"/>
    <mergeCell ref="AR88:AV89"/>
    <mergeCell ref="AR90:AV91"/>
    <mergeCell ref="AR92:AV93"/>
    <mergeCell ref="AR94:AV95"/>
    <mergeCell ref="AO137:AQ137"/>
    <mergeCell ref="AO139:AQ139"/>
    <mergeCell ref="AO128:AQ129"/>
    <mergeCell ref="AO89:AQ89"/>
    <mergeCell ref="AO88:AQ88"/>
    <mergeCell ref="AO99:AQ99"/>
    <mergeCell ref="AR114:AV115"/>
    <mergeCell ref="AR116:AV117"/>
    <mergeCell ref="AR118:AV119"/>
    <mergeCell ref="AR120:AV121"/>
    <mergeCell ref="AR96:AV97"/>
    <mergeCell ref="AR98:AV99"/>
    <mergeCell ref="AR100:AV101"/>
    <mergeCell ref="AR112:AV113"/>
    <mergeCell ref="AR148:AV149"/>
    <mergeCell ref="AR140:AV141"/>
    <mergeCell ref="AR142:AV143"/>
    <mergeCell ref="AR144:AV145"/>
    <mergeCell ref="AR146:AV147"/>
    <mergeCell ref="AR122:AV123"/>
    <mergeCell ref="AR124:AV125"/>
    <mergeCell ref="AR136:AV137"/>
    <mergeCell ref="AR138:AV139"/>
  </mergeCells>
  <phoneticPr fontId="2"/>
  <conditionalFormatting sqref="AH88:AN88 AH90:AN90 AH94:AN94 AH96:AN96 AH98:AN98 AH100:AN100 AH102:AN102">
    <cfRule type="expression" dxfId="12" priority="13" stopIfTrue="1">
      <formula>$BH88&gt;0</formula>
    </cfRule>
  </conditionalFormatting>
  <conditionalFormatting sqref="AH89:AN89">
    <cfRule type="expression" dxfId="11" priority="12" stopIfTrue="1">
      <formula>$AH89&lt;0</formula>
    </cfRule>
  </conditionalFormatting>
  <conditionalFormatting sqref="AH92:AN92">
    <cfRule type="expression" dxfId="10" priority="11" stopIfTrue="1">
      <formula>$BH92&gt;0</formula>
    </cfRule>
  </conditionalFormatting>
  <conditionalFormatting sqref="AH103:AN103 AH101:AN101 AH99:AN99 AH97:AN97 AH95:AN95 AH93:AN93 AH91:AN91">
    <cfRule type="expression" dxfId="9" priority="10" stopIfTrue="1">
      <formula>$AH91&lt;0</formula>
    </cfRule>
  </conditionalFormatting>
  <conditionalFormatting sqref="AH112:AN112 AH114:AN114 AH118:AN118 AH120:AN120 AH122:AN122 AH124:AN124 AH126:AN126">
    <cfRule type="expression" dxfId="8" priority="9" stopIfTrue="1">
      <formula>$BH112&gt;0</formula>
    </cfRule>
  </conditionalFormatting>
  <conditionalFormatting sqref="AH113:AN113">
    <cfRule type="expression" dxfId="7" priority="8" stopIfTrue="1">
      <formula>$AH113&lt;0</formula>
    </cfRule>
  </conditionalFormatting>
  <conditionalFormatting sqref="AH116:AN116">
    <cfRule type="expression" dxfId="6" priority="7" stopIfTrue="1">
      <formula>$BH116&gt;0</formula>
    </cfRule>
  </conditionalFormatting>
  <conditionalFormatting sqref="AH127:AN127 AH125:AN125 AH123:AN123 AH121:AN121 AH119:AN119 AH117:AN117 AH115:AN115">
    <cfRule type="expression" dxfId="5" priority="6" stopIfTrue="1">
      <formula>$AH115&lt;0</formula>
    </cfRule>
  </conditionalFormatting>
  <conditionalFormatting sqref="AH136:AN136 AH138:AN138 AH142:AN142 AH144:AN144 AH146:AN146 AH148:AN148 AH150:AN150">
    <cfRule type="expression" dxfId="4" priority="4" stopIfTrue="1">
      <formula>$BH136&gt;0</formula>
    </cfRule>
  </conditionalFormatting>
  <conditionalFormatting sqref="AH137:AN137">
    <cfRule type="expression" dxfId="3" priority="3" stopIfTrue="1">
      <formula>$AH137&lt;0</formula>
    </cfRule>
  </conditionalFormatting>
  <conditionalFormatting sqref="AH140:AN140">
    <cfRule type="expression" dxfId="2" priority="2" stopIfTrue="1">
      <formula>$BH140&gt;0</formula>
    </cfRule>
  </conditionalFormatting>
  <conditionalFormatting sqref="AH151:AN151 AH149:AN149 AH147:AN147 AH145:AN145 AH143:AN143 AH141:AN141 AH139:AN139">
    <cfRule type="expression" dxfId="1" priority="1" stopIfTrue="1">
      <formula>$AH139&lt;0</formula>
    </cfRule>
  </conditionalFormatting>
  <printOptions horizontalCentered="1"/>
  <pageMargins left="0.43307086614173229" right="0.43307086614173229" top="0.6692913385826772" bottom="0.62992125984251968" header="0.51181102362204722" footer="0.51181102362204722"/>
  <pageSetup paperSize="9" scale="60" fitToHeight="2" orientation="portrait" r:id="rId1"/>
  <headerFooter alignWithMargins="0"/>
  <rowBreaks count="1" manualBreakCount="1">
    <brk id="80" min="1" max="47" man="1"/>
  </rowBreaks>
  <ignoredErrors>
    <ignoredError sqref="P89:V101 P113:V125 AJ12:AP24 Y89:AE101" formula="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enableFormatConditionsCalculation="0">
    <tabColor indexed="51"/>
  </sheetPr>
  <dimension ref="B1:AQ139"/>
  <sheetViews>
    <sheetView showGridLines="0" zoomScale="70" zoomScaleNormal="85" workbookViewId="0">
      <selection activeCell="B5" sqref="B5:H5"/>
    </sheetView>
  </sheetViews>
  <sheetFormatPr defaultRowHeight="13.5"/>
  <cols>
    <col min="1" max="1" width="1.125" customWidth="1"/>
    <col min="2" max="50" width="2.75" customWidth="1"/>
  </cols>
  <sheetData>
    <row r="1" spans="2:40" ht="17.25">
      <c r="B1" s="128" t="s">
        <v>496</v>
      </c>
      <c r="C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row>
    <row r="2" spans="2:40" ht="19.5" thickBot="1">
      <c r="B2" s="674" t="s">
        <v>645</v>
      </c>
      <c r="C2" s="674"/>
      <c r="D2" s="674"/>
      <c r="E2" s="674"/>
      <c r="F2" s="674"/>
      <c r="G2" s="674"/>
      <c r="H2" s="674"/>
      <c r="I2" s="674"/>
      <c r="J2" s="674"/>
      <c r="K2" s="674"/>
      <c r="L2" s="674"/>
      <c r="M2" s="674"/>
      <c r="N2" s="674"/>
      <c r="O2" s="674"/>
      <c r="P2" s="674"/>
      <c r="Q2" s="674"/>
      <c r="R2" s="674"/>
      <c r="S2" s="674"/>
      <c r="T2" s="674"/>
      <c r="U2" s="674"/>
      <c r="V2" s="674"/>
      <c r="W2" s="674"/>
      <c r="X2" s="674"/>
      <c r="Y2" s="674"/>
      <c r="Z2" s="674"/>
      <c r="AA2" s="674"/>
      <c r="AB2" s="674"/>
      <c r="AC2" s="674"/>
      <c r="AD2" s="674"/>
      <c r="AE2" s="674"/>
      <c r="AF2" s="674"/>
      <c r="AG2" s="674"/>
      <c r="AH2" s="674"/>
      <c r="AI2" s="674"/>
      <c r="AJ2" s="674"/>
      <c r="AK2" s="674"/>
      <c r="AL2" s="674"/>
      <c r="AM2" s="674"/>
      <c r="AN2" s="674"/>
    </row>
    <row r="3" spans="2:40" ht="24" customHeight="1" thickBot="1">
      <c r="B3" s="1349" t="s">
        <v>437</v>
      </c>
      <c r="C3" s="1350"/>
      <c r="D3" s="1350"/>
      <c r="E3" s="1350"/>
      <c r="F3" s="1350"/>
      <c r="G3" s="1350"/>
      <c r="H3" s="1350"/>
      <c r="I3" s="1351"/>
      <c r="J3" s="1351"/>
      <c r="K3" s="1350"/>
      <c r="L3" s="1350"/>
      <c r="M3" s="1350"/>
      <c r="N3" s="1350"/>
      <c r="O3" s="1350"/>
      <c r="P3" s="1350"/>
      <c r="Q3" s="1350"/>
      <c r="R3" s="1350"/>
      <c r="S3" s="1350"/>
      <c r="T3" s="1350"/>
      <c r="U3" s="1350"/>
      <c r="V3" s="1350"/>
      <c r="W3" s="1350"/>
      <c r="X3" s="1350"/>
      <c r="Y3" s="1350"/>
      <c r="Z3" s="1350"/>
      <c r="AA3" s="1350"/>
      <c r="AB3" s="1350"/>
      <c r="AC3" s="1352"/>
    </row>
    <row r="4" spans="2:40" ht="19.5" customHeight="1" thickTop="1" thickBot="1">
      <c r="B4" s="1320" t="s">
        <v>438</v>
      </c>
      <c r="C4" s="1321"/>
      <c r="D4" s="1321"/>
      <c r="E4" s="1321"/>
      <c r="F4" s="1321"/>
      <c r="G4" s="1321"/>
      <c r="H4" s="1322"/>
      <c r="I4" s="1323">
        <v>5</v>
      </c>
      <c r="J4" s="1324"/>
      <c r="K4" t="s">
        <v>439</v>
      </c>
    </row>
    <row r="5" spans="2:40" ht="19.5" customHeight="1" thickTop="1" thickBot="1">
      <c r="B5" s="1320" t="s">
        <v>800</v>
      </c>
      <c r="C5" s="1321"/>
      <c r="D5" s="1321"/>
      <c r="E5" s="1321"/>
      <c r="F5" s="1321"/>
      <c r="G5" s="1321"/>
      <c r="H5" s="1322"/>
      <c r="I5" s="1323">
        <v>1</v>
      </c>
      <c r="J5" s="1324"/>
      <c r="K5" t="s">
        <v>802</v>
      </c>
      <c r="P5" s="1320" t="s">
        <v>801</v>
      </c>
      <c r="Q5" s="1321"/>
      <c r="R5" s="1321"/>
      <c r="S5" s="1321"/>
      <c r="T5" s="1321"/>
      <c r="U5" s="1321"/>
      <c r="V5" s="1322"/>
      <c r="W5" s="1325">
        <v>8</v>
      </c>
      <c r="X5" s="1326"/>
      <c r="Y5" t="s">
        <v>802</v>
      </c>
    </row>
    <row r="6" spans="2:40" ht="8.1" customHeight="1"/>
    <row r="7" spans="2:40" ht="8.1" customHeight="1"/>
    <row r="8" spans="2:40" ht="8.1" customHeight="1" thickBot="1"/>
    <row r="9" spans="2:40" ht="24" customHeight="1" thickBot="1">
      <c r="B9" s="1349" t="s">
        <v>624</v>
      </c>
      <c r="C9" s="1350"/>
      <c r="D9" s="1350"/>
      <c r="E9" s="1350"/>
      <c r="F9" s="1350"/>
      <c r="G9" s="1350"/>
      <c r="H9" s="1350"/>
      <c r="I9" s="1350"/>
      <c r="J9" s="1350"/>
      <c r="K9" s="1350"/>
      <c r="L9" s="1350"/>
      <c r="M9" s="1350"/>
      <c r="N9" s="1350"/>
      <c r="O9" s="1350"/>
      <c r="P9" s="1350"/>
      <c r="Q9" s="1350"/>
      <c r="R9" s="1350"/>
      <c r="S9" s="1350"/>
      <c r="T9" s="1350"/>
      <c r="U9" s="1350"/>
      <c r="V9" s="1350"/>
      <c r="W9" s="1350"/>
      <c r="X9" s="1350"/>
      <c r="Y9" s="1350"/>
      <c r="Z9" s="1350"/>
      <c r="AA9" s="1350"/>
      <c r="AB9" s="1350"/>
      <c r="AC9" s="1352"/>
    </row>
    <row r="10" spans="2:40" ht="24" customHeight="1">
      <c r="B10" s="375" t="s">
        <v>114</v>
      </c>
    </row>
    <row r="11" spans="2:40" ht="7.5" customHeight="1" thickBot="1"/>
    <row r="12" spans="2:40" ht="19.5" customHeight="1" thickTop="1" thickBot="1">
      <c r="B12" s="1373" t="s">
        <v>636</v>
      </c>
      <c r="C12" s="1373"/>
      <c r="D12" s="1373"/>
      <c r="E12" s="1373"/>
      <c r="F12" s="1373"/>
      <c r="G12" s="1373"/>
      <c r="H12" s="1373"/>
      <c r="I12" s="1331" t="s">
        <v>637</v>
      </c>
      <c r="J12" s="1331"/>
      <c r="K12" s="1331"/>
      <c r="L12" s="1331"/>
      <c r="M12" s="1331"/>
      <c r="N12" s="1331"/>
      <c r="O12" s="1331"/>
      <c r="P12" s="1331"/>
      <c r="Q12" s="1335" t="s">
        <v>628</v>
      </c>
      <c r="R12" s="1335"/>
      <c r="S12" s="1335"/>
      <c r="T12" s="1335"/>
      <c r="U12" s="1335"/>
      <c r="V12" s="1335"/>
      <c r="W12" s="1337">
        <v>0</v>
      </c>
      <c r="X12" s="1338"/>
      <c r="Y12" s="1338"/>
      <c r="Z12" s="1338"/>
      <c r="AA12" s="1338"/>
      <c r="AB12" s="1338"/>
      <c r="AC12" s="1339"/>
      <c r="AD12" t="s">
        <v>640</v>
      </c>
    </row>
    <row r="13" spans="2:40" ht="19.5" customHeight="1" thickBot="1">
      <c r="B13" s="1373"/>
      <c r="C13" s="1373"/>
      <c r="D13" s="1373"/>
      <c r="E13" s="1373"/>
      <c r="F13" s="1373"/>
      <c r="G13" s="1373"/>
      <c r="H13" s="1373"/>
      <c r="I13" s="1332"/>
      <c r="J13" s="1332"/>
      <c r="K13" s="1332"/>
      <c r="L13" s="1332"/>
      <c r="M13" s="1332"/>
      <c r="N13" s="1332"/>
      <c r="O13" s="1332"/>
      <c r="P13" s="1332"/>
      <c r="Q13" s="1340" t="s">
        <v>629</v>
      </c>
      <c r="R13" s="1340"/>
      <c r="S13" s="1340"/>
      <c r="T13" s="1340"/>
      <c r="U13" s="1340"/>
      <c r="V13" s="1340"/>
      <c r="W13" s="1374">
        <f>W12*0.1</f>
        <v>0</v>
      </c>
      <c r="X13" s="1375"/>
      <c r="Y13" s="1375"/>
      <c r="Z13" s="1375"/>
      <c r="AA13" s="1375"/>
      <c r="AB13" s="1375"/>
      <c r="AC13" s="1376"/>
      <c r="AD13" t="s">
        <v>640</v>
      </c>
    </row>
    <row r="14" spans="2:40" ht="19.5" customHeight="1" thickTop="1" thickBot="1">
      <c r="B14" s="1373"/>
      <c r="C14" s="1373"/>
      <c r="D14" s="1373"/>
      <c r="E14" s="1373"/>
      <c r="F14" s="1373"/>
      <c r="G14" s="1373"/>
      <c r="H14" s="1373"/>
      <c r="I14" s="1332" t="s">
        <v>638</v>
      </c>
      <c r="J14" s="1332"/>
      <c r="K14" s="1332"/>
      <c r="L14" s="1332"/>
      <c r="M14" s="1332"/>
      <c r="N14" s="1332"/>
      <c r="O14" s="1332"/>
      <c r="P14" s="1332"/>
      <c r="Q14" s="1340" t="s">
        <v>628</v>
      </c>
      <c r="R14" s="1340"/>
      <c r="S14" s="1340"/>
      <c r="T14" s="1340"/>
      <c r="U14" s="1340"/>
      <c r="V14" s="1340"/>
      <c r="W14" s="1337">
        <v>0</v>
      </c>
      <c r="X14" s="1338"/>
      <c r="Y14" s="1338"/>
      <c r="Z14" s="1338"/>
      <c r="AA14" s="1338"/>
      <c r="AB14" s="1338"/>
      <c r="AC14" s="1339"/>
      <c r="AD14" t="s">
        <v>640</v>
      </c>
    </row>
    <row r="15" spans="2:40" ht="19.5" customHeight="1" thickBot="1">
      <c r="B15" s="1373"/>
      <c r="C15" s="1373"/>
      <c r="D15" s="1373"/>
      <c r="E15" s="1373"/>
      <c r="F15" s="1373"/>
      <c r="G15" s="1373"/>
      <c r="H15" s="1373"/>
      <c r="I15" s="1333"/>
      <c r="J15" s="1333"/>
      <c r="K15" s="1333"/>
      <c r="L15" s="1333"/>
      <c r="M15" s="1333"/>
      <c r="N15" s="1333"/>
      <c r="O15" s="1333"/>
      <c r="P15" s="1333"/>
      <c r="Q15" s="1341" t="s">
        <v>629</v>
      </c>
      <c r="R15" s="1341"/>
      <c r="S15" s="1341"/>
      <c r="T15" s="1341"/>
      <c r="U15" s="1341"/>
      <c r="V15" s="1341"/>
      <c r="W15" s="1345">
        <f>W14*0.1</f>
        <v>0</v>
      </c>
      <c r="X15" s="1345"/>
      <c r="Y15" s="1345"/>
      <c r="Z15" s="1345"/>
      <c r="AA15" s="1345"/>
      <c r="AB15" s="1345"/>
      <c r="AC15" s="1345"/>
      <c r="AD15" t="s">
        <v>640</v>
      </c>
    </row>
    <row r="16" spans="2:40" ht="19.5" customHeight="1" thickTop="1" thickBot="1">
      <c r="B16" s="1373" t="s">
        <v>625</v>
      </c>
      <c r="C16" s="1373"/>
      <c r="D16" s="1373"/>
      <c r="E16" s="1373"/>
      <c r="F16" s="1373"/>
      <c r="G16" s="1373"/>
      <c r="H16" s="1373"/>
      <c r="I16" s="1331" t="s">
        <v>626</v>
      </c>
      <c r="J16" s="1331"/>
      <c r="K16" s="1331"/>
      <c r="L16" s="1331"/>
      <c r="M16" s="1331"/>
      <c r="N16" s="1331"/>
      <c r="O16" s="1331"/>
      <c r="P16" s="1331"/>
      <c r="Q16" s="1335" t="s">
        <v>628</v>
      </c>
      <c r="R16" s="1335"/>
      <c r="S16" s="1335"/>
      <c r="T16" s="1335"/>
      <c r="U16" s="1335"/>
      <c r="V16" s="1335"/>
      <c r="W16" s="1337">
        <v>0</v>
      </c>
      <c r="X16" s="1338"/>
      <c r="Y16" s="1338"/>
      <c r="Z16" s="1338"/>
      <c r="AA16" s="1338"/>
      <c r="AB16" s="1338"/>
      <c r="AC16" s="1339"/>
      <c r="AD16" t="s">
        <v>231</v>
      </c>
    </row>
    <row r="17" spans="2:30" ht="19.5" customHeight="1" thickBot="1">
      <c r="B17" s="1373"/>
      <c r="C17" s="1373"/>
      <c r="D17" s="1373"/>
      <c r="E17" s="1373"/>
      <c r="F17" s="1373"/>
      <c r="G17" s="1373"/>
      <c r="H17" s="1373"/>
      <c r="I17" s="1332"/>
      <c r="J17" s="1332"/>
      <c r="K17" s="1332"/>
      <c r="L17" s="1332"/>
      <c r="M17" s="1332"/>
      <c r="N17" s="1332"/>
      <c r="O17" s="1332"/>
      <c r="P17" s="1332"/>
      <c r="Q17" s="1340" t="s">
        <v>629</v>
      </c>
      <c r="R17" s="1340"/>
      <c r="S17" s="1340"/>
      <c r="T17" s="1340"/>
      <c r="U17" s="1340"/>
      <c r="V17" s="1340"/>
      <c r="W17" s="1330">
        <f>W16*0.1</f>
        <v>0</v>
      </c>
      <c r="X17" s="1330"/>
      <c r="Y17" s="1330"/>
      <c r="Z17" s="1330"/>
      <c r="AA17" s="1330"/>
      <c r="AB17" s="1330"/>
      <c r="AC17" s="1330"/>
      <c r="AD17" t="s">
        <v>231</v>
      </c>
    </row>
    <row r="18" spans="2:30" ht="19.5" customHeight="1" thickTop="1" thickBot="1">
      <c r="B18" s="1373"/>
      <c r="C18" s="1373"/>
      <c r="D18" s="1373"/>
      <c r="E18" s="1373"/>
      <c r="F18" s="1373"/>
      <c r="G18" s="1373"/>
      <c r="H18" s="1373"/>
      <c r="I18" s="1332" t="s">
        <v>627</v>
      </c>
      <c r="J18" s="1332"/>
      <c r="K18" s="1332"/>
      <c r="L18" s="1332"/>
      <c r="M18" s="1332"/>
      <c r="N18" s="1332"/>
      <c r="O18" s="1332"/>
      <c r="P18" s="1332"/>
      <c r="Q18" s="1340" t="s">
        <v>628</v>
      </c>
      <c r="R18" s="1340"/>
      <c r="S18" s="1340"/>
      <c r="T18" s="1340"/>
      <c r="U18" s="1340"/>
      <c r="V18" s="1340"/>
      <c r="W18" s="1337">
        <v>0</v>
      </c>
      <c r="X18" s="1338"/>
      <c r="Y18" s="1338"/>
      <c r="Z18" s="1338"/>
      <c r="AA18" s="1338"/>
      <c r="AB18" s="1338"/>
      <c r="AC18" s="1339"/>
      <c r="AD18" t="s">
        <v>231</v>
      </c>
    </row>
    <row r="19" spans="2:30" ht="19.5" customHeight="1" thickBot="1">
      <c r="B19" s="1373"/>
      <c r="C19" s="1373"/>
      <c r="D19" s="1373"/>
      <c r="E19" s="1373"/>
      <c r="F19" s="1373"/>
      <c r="G19" s="1373"/>
      <c r="H19" s="1373"/>
      <c r="I19" s="1333"/>
      <c r="J19" s="1333"/>
      <c r="K19" s="1333"/>
      <c r="L19" s="1333"/>
      <c r="M19" s="1333"/>
      <c r="N19" s="1333"/>
      <c r="O19" s="1333"/>
      <c r="P19" s="1333"/>
      <c r="Q19" s="1341" t="s">
        <v>629</v>
      </c>
      <c r="R19" s="1341"/>
      <c r="S19" s="1341"/>
      <c r="T19" s="1341"/>
      <c r="U19" s="1341"/>
      <c r="V19" s="1341"/>
      <c r="W19" s="1330">
        <f>W18*0.1</f>
        <v>0</v>
      </c>
      <c r="X19" s="1330"/>
      <c r="Y19" s="1330"/>
      <c r="Z19" s="1330"/>
      <c r="AA19" s="1330"/>
      <c r="AB19" s="1330"/>
      <c r="AC19" s="1330"/>
      <c r="AD19" t="s">
        <v>231</v>
      </c>
    </row>
    <row r="20" spans="2:30" ht="19.5" customHeight="1" thickTop="1" thickBot="1">
      <c r="B20" s="1373" t="s">
        <v>630</v>
      </c>
      <c r="C20" s="1373"/>
      <c r="D20" s="1373"/>
      <c r="E20" s="1373"/>
      <c r="F20" s="1373"/>
      <c r="G20" s="1373"/>
      <c r="H20" s="1373"/>
      <c r="I20" s="1334" t="s">
        <v>282</v>
      </c>
      <c r="J20" s="1331"/>
      <c r="K20" s="1331"/>
      <c r="L20" s="1331"/>
      <c r="M20" s="1331"/>
      <c r="N20" s="1331"/>
      <c r="O20" s="1331"/>
      <c r="P20" s="1331"/>
      <c r="Q20" s="1335" t="s">
        <v>628</v>
      </c>
      <c r="R20" s="1335"/>
      <c r="S20" s="1335"/>
      <c r="T20" s="1335"/>
      <c r="U20" s="1335"/>
      <c r="V20" s="1335"/>
      <c r="W20" s="1337">
        <v>0</v>
      </c>
      <c r="X20" s="1338"/>
      <c r="Y20" s="1338"/>
      <c r="Z20" s="1338"/>
      <c r="AA20" s="1338"/>
      <c r="AB20" s="1338"/>
      <c r="AC20" s="1339"/>
      <c r="AD20" t="s">
        <v>285</v>
      </c>
    </row>
    <row r="21" spans="2:30" ht="19.5" customHeight="1" thickBot="1">
      <c r="B21" s="1373"/>
      <c r="C21" s="1373"/>
      <c r="D21" s="1373"/>
      <c r="E21" s="1373"/>
      <c r="F21" s="1373"/>
      <c r="G21" s="1373"/>
      <c r="H21" s="1373"/>
      <c r="I21" s="1332"/>
      <c r="J21" s="1332"/>
      <c r="K21" s="1332"/>
      <c r="L21" s="1332"/>
      <c r="M21" s="1332"/>
      <c r="N21" s="1332"/>
      <c r="O21" s="1332"/>
      <c r="P21" s="1332"/>
      <c r="Q21" s="1340" t="s">
        <v>629</v>
      </c>
      <c r="R21" s="1340"/>
      <c r="S21" s="1340"/>
      <c r="T21" s="1340"/>
      <c r="U21" s="1340"/>
      <c r="V21" s="1340"/>
      <c r="W21" s="1330">
        <f>W20*0.12</f>
        <v>0</v>
      </c>
      <c r="X21" s="1330"/>
      <c r="Y21" s="1330"/>
      <c r="Z21" s="1330"/>
      <c r="AA21" s="1330"/>
      <c r="AB21" s="1330"/>
      <c r="AC21" s="1330"/>
      <c r="AD21" t="s">
        <v>285</v>
      </c>
    </row>
    <row r="22" spans="2:30" ht="19.5" customHeight="1" thickTop="1" thickBot="1">
      <c r="B22" s="1373"/>
      <c r="C22" s="1373"/>
      <c r="D22" s="1373"/>
      <c r="E22" s="1373"/>
      <c r="F22" s="1373"/>
      <c r="G22" s="1373"/>
      <c r="H22" s="1373"/>
      <c r="I22" s="1360" t="s">
        <v>284</v>
      </c>
      <c r="J22" s="1332"/>
      <c r="K22" s="1332"/>
      <c r="L22" s="1332"/>
      <c r="M22" s="1332"/>
      <c r="N22" s="1332"/>
      <c r="O22" s="1332"/>
      <c r="P22" s="1332"/>
      <c r="Q22" s="1340" t="s">
        <v>628</v>
      </c>
      <c r="R22" s="1340"/>
      <c r="S22" s="1340"/>
      <c r="T22" s="1340"/>
      <c r="U22" s="1340"/>
      <c r="V22" s="1340"/>
      <c r="W22" s="1337">
        <v>0</v>
      </c>
      <c r="X22" s="1338"/>
      <c r="Y22" s="1338"/>
      <c r="Z22" s="1338"/>
      <c r="AA22" s="1338"/>
      <c r="AB22" s="1338"/>
      <c r="AC22" s="1339"/>
      <c r="AD22" t="s">
        <v>285</v>
      </c>
    </row>
    <row r="23" spans="2:30" ht="19.5" customHeight="1" thickBot="1">
      <c r="B23" s="1373"/>
      <c r="C23" s="1373"/>
      <c r="D23" s="1373"/>
      <c r="E23" s="1373"/>
      <c r="F23" s="1373"/>
      <c r="G23" s="1373"/>
      <c r="H23" s="1373"/>
      <c r="I23" s="1332"/>
      <c r="J23" s="1332"/>
      <c r="K23" s="1332"/>
      <c r="L23" s="1332"/>
      <c r="M23" s="1332"/>
      <c r="N23" s="1332"/>
      <c r="O23" s="1332"/>
      <c r="P23" s="1332"/>
      <c r="Q23" s="1340" t="s">
        <v>629</v>
      </c>
      <c r="R23" s="1340"/>
      <c r="S23" s="1340"/>
      <c r="T23" s="1340"/>
      <c r="U23" s="1340"/>
      <c r="V23" s="1340"/>
      <c r="W23" s="1330">
        <f>W22*0.12</f>
        <v>0</v>
      </c>
      <c r="X23" s="1330"/>
      <c r="Y23" s="1330"/>
      <c r="Z23" s="1330"/>
      <c r="AA23" s="1330"/>
      <c r="AB23" s="1330"/>
      <c r="AC23" s="1330"/>
      <c r="AD23" t="s">
        <v>285</v>
      </c>
    </row>
    <row r="24" spans="2:30" ht="19.5" customHeight="1" thickTop="1" thickBot="1">
      <c r="B24" s="1373"/>
      <c r="C24" s="1373"/>
      <c r="D24" s="1373"/>
      <c r="E24" s="1373"/>
      <c r="F24" s="1373"/>
      <c r="G24" s="1373"/>
      <c r="H24" s="1373"/>
      <c r="I24" s="1332" t="s">
        <v>631</v>
      </c>
      <c r="J24" s="1332"/>
      <c r="K24" s="1332"/>
      <c r="L24" s="1332"/>
      <c r="M24" s="1332"/>
      <c r="N24" s="1332"/>
      <c r="O24" s="1332"/>
      <c r="P24" s="1332"/>
      <c r="Q24" s="1340" t="s">
        <v>628</v>
      </c>
      <c r="R24" s="1340"/>
      <c r="S24" s="1340"/>
      <c r="T24" s="1340"/>
      <c r="U24" s="1340"/>
      <c r="V24" s="1340"/>
      <c r="W24" s="1337">
        <v>0</v>
      </c>
      <c r="X24" s="1338"/>
      <c r="Y24" s="1338"/>
      <c r="Z24" s="1338"/>
      <c r="AA24" s="1338"/>
      <c r="AB24" s="1338"/>
      <c r="AC24" s="1339"/>
      <c r="AD24" t="s">
        <v>285</v>
      </c>
    </row>
    <row r="25" spans="2:30" ht="19.5" customHeight="1" thickBot="1">
      <c r="B25" s="1373"/>
      <c r="C25" s="1373"/>
      <c r="D25" s="1373"/>
      <c r="E25" s="1373"/>
      <c r="F25" s="1373"/>
      <c r="G25" s="1373"/>
      <c r="H25" s="1373"/>
      <c r="I25" s="1333"/>
      <c r="J25" s="1333"/>
      <c r="K25" s="1333"/>
      <c r="L25" s="1333"/>
      <c r="M25" s="1333"/>
      <c r="N25" s="1333"/>
      <c r="O25" s="1333"/>
      <c r="P25" s="1333"/>
      <c r="Q25" s="1341" t="s">
        <v>629</v>
      </c>
      <c r="R25" s="1341"/>
      <c r="S25" s="1341"/>
      <c r="T25" s="1341"/>
      <c r="U25" s="1341"/>
      <c r="V25" s="1341"/>
      <c r="W25" s="1345">
        <f>W24*0.12</f>
        <v>0</v>
      </c>
      <c r="X25" s="1345"/>
      <c r="Y25" s="1345"/>
      <c r="Z25" s="1345"/>
      <c r="AA25" s="1345"/>
      <c r="AB25" s="1345"/>
      <c r="AC25" s="1345"/>
      <c r="AD25" t="s">
        <v>285</v>
      </c>
    </row>
    <row r="26" spans="2:30" ht="19.5" customHeight="1" thickBot="1">
      <c r="B26" s="1377" t="s">
        <v>633</v>
      </c>
      <c r="C26" s="1378"/>
      <c r="D26" s="1378"/>
      <c r="E26" s="1378"/>
      <c r="F26" s="1378"/>
      <c r="G26" s="1378"/>
      <c r="H26" s="1379"/>
      <c r="I26" s="1410"/>
      <c r="J26" s="1411"/>
      <c r="K26" s="1411"/>
      <c r="L26" s="1411"/>
      <c r="M26" s="1411"/>
      <c r="N26" s="1411"/>
      <c r="O26" s="1411"/>
      <c r="P26" s="1412"/>
      <c r="Q26" s="1335" t="s">
        <v>634</v>
      </c>
      <c r="R26" s="1335"/>
      <c r="S26" s="1335"/>
      <c r="T26" s="1335"/>
      <c r="U26" s="1335"/>
      <c r="V26" s="1335"/>
      <c r="W26" s="1419" t="s">
        <v>568</v>
      </c>
      <c r="X26" s="1420"/>
      <c r="Y26" s="1420"/>
      <c r="Z26" s="1420"/>
      <c r="AA26" s="1420"/>
      <c r="AB26" s="1420"/>
      <c r="AC26" s="1421"/>
    </row>
    <row r="27" spans="2:30" ht="19.5" customHeight="1" thickTop="1" thickBot="1">
      <c r="B27" s="1406"/>
      <c r="C27" s="1407"/>
      <c r="D27" s="1407"/>
      <c r="E27" s="1407"/>
      <c r="F27" s="1407"/>
      <c r="G27" s="1407"/>
      <c r="H27" s="1408"/>
      <c r="I27" s="1413"/>
      <c r="J27" s="1414"/>
      <c r="K27" s="1414"/>
      <c r="L27" s="1414"/>
      <c r="M27" s="1414"/>
      <c r="N27" s="1414"/>
      <c r="O27" s="1414"/>
      <c r="P27" s="1415"/>
      <c r="Q27" s="1340" t="s">
        <v>628</v>
      </c>
      <c r="R27" s="1340"/>
      <c r="S27" s="1340"/>
      <c r="T27" s="1340"/>
      <c r="U27" s="1340"/>
      <c r="V27" s="1340"/>
      <c r="W27" s="1337">
        <v>0</v>
      </c>
      <c r="X27" s="1338"/>
      <c r="Y27" s="1338"/>
      <c r="Z27" s="1338"/>
      <c r="AA27" s="1338"/>
      <c r="AB27" s="1338"/>
      <c r="AC27" s="1339"/>
    </row>
    <row r="28" spans="2:30" ht="19.5" customHeight="1" thickTop="1" thickBot="1">
      <c r="B28" s="1380"/>
      <c r="C28" s="1381"/>
      <c r="D28" s="1381"/>
      <c r="E28" s="1381"/>
      <c r="F28" s="1381"/>
      <c r="G28" s="1381"/>
      <c r="H28" s="1382"/>
      <c r="I28" s="1416"/>
      <c r="J28" s="1417"/>
      <c r="K28" s="1417"/>
      <c r="L28" s="1417"/>
      <c r="M28" s="1417"/>
      <c r="N28" s="1417"/>
      <c r="O28" s="1417"/>
      <c r="P28" s="1418"/>
      <c r="Q28" s="1341" t="s">
        <v>629</v>
      </c>
      <c r="R28" s="1341"/>
      <c r="S28" s="1341"/>
      <c r="T28" s="1341"/>
      <c r="U28" s="1341"/>
      <c r="V28" s="1341"/>
      <c r="W28" s="1345">
        <f>W27*0.1</f>
        <v>0</v>
      </c>
      <c r="X28" s="1345"/>
      <c r="Y28" s="1345"/>
      <c r="Z28" s="1345"/>
      <c r="AA28" s="1345"/>
      <c r="AB28" s="1345"/>
      <c r="AC28" s="1345"/>
    </row>
    <row r="29" spans="2:30" ht="19.5" customHeight="1" thickTop="1" thickBot="1">
      <c r="B29" s="1373" t="s">
        <v>342</v>
      </c>
      <c r="C29" s="1373"/>
      <c r="D29" s="1373"/>
      <c r="E29" s="1373"/>
      <c r="F29" s="1373"/>
      <c r="G29" s="1373"/>
      <c r="H29" s="1373"/>
      <c r="I29" s="1373"/>
      <c r="J29" s="1373"/>
      <c r="K29" s="1373"/>
      <c r="L29" s="1373"/>
      <c r="M29" s="1373"/>
      <c r="N29" s="1373"/>
      <c r="O29" s="1373"/>
      <c r="P29" s="1373"/>
      <c r="Q29" s="1335" t="s">
        <v>628</v>
      </c>
      <c r="R29" s="1335"/>
      <c r="S29" s="1335"/>
      <c r="T29" s="1335"/>
      <c r="U29" s="1335"/>
      <c r="V29" s="1335"/>
      <c r="W29" s="1337">
        <v>0</v>
      </c>
      <c r="X29" s="1338"/>
      <c r="Y29" s="1338"/>
      <c r="Z29" s="1338"/>
      <c r="AA29" s="1338"/>
      <c r="AB29" s="1338"/>
      <c r="AC29" s="1339"/>
      <c r="AD29" t="s">
        <v>343</v>
      </c>
    </row>
    <row r="30" spans="2:30" ht="19.5" customHeight="1" thickTop="1" thickBot="1">
      <c r="B30" s="1373"/>
      <c r="C30" s="1373"/>
      <c r="D30" s="1373"/>
      <c r="E30" s="1373"/>
      <c r="F30" s="1373"/>
      <c r="G30" s="1373"/>
      <c r="H30" s="1373"/>
      <c r="I30" s="1373"/>
      <c r="J30" s="1373"/>
      <c r="K30" s="1373"/>
      <c r="L30" s="1373"/>
      <c r="M30" s="1373"/>
      <c r="N30" s="1373"/>
      <c r="O30" s="1373"/>
      <c r="P30" s="1373"/>
      <c r="Q30" s="1341" t="s">
        <v>629</v>
      </c>
      <c r="R30" s="1341"/>
      <c r="S30" s="1341"/>
      <c r="T30" s="1341"/>
      <c r="U30" s="1341"/>
      <c r="V30" s="1341"/>
      <c r="W30" s="1337">
        <v>0</v>
      </c>
      <c r="X30" s="1338"/>
      <c r="Y30" s="1338"/>
      <c r="Z30" s="1338"/>
      <c r="AA30" s="1338"/>
      <c r="AB30" s="1338"/>
      <c r="AC30" s="1339"/>
      <c r="AD30" t="s">
        <v>343</v>
      </c>
    </row>
    <row r="31" spans="2:30" ht="19.5" customHeight="1">
      <c r="B31" s="1386" t="s">
        <v>590</v>
      </c>
      <c r="C31" s="1387"/>
      <c r="D31" s="1387"/>
      <c r="E31" s="1387"/>
      <c r="F31" s="1387"/>
      <c r="G31" s="1387"/>
      <c r="H31" s="1387"/>
      <c r="I31" s="1387"/>
      <c r="J31" s="1387"/>
      <c r="K31" s="1387"/>
      <c r="L31" s="1387"/>
      <c r="M31" s="1387"/>
      <c r="N31" s="1387"/>
      <c r="O31" s="1387"/>
      <c r="P31" s="1388"/>
      <c r="Q31" s="1392" t="s">
        <v>754</v>
      </c>
      <c r="R31" s="1392"/>
      <c r="S31" s="1392"/>
      <c r="T31" s="1392"/>
      <c r="U31" s="1392"/>
      <c r="V31" s="1392"/>
      <c r="W31" s="1372">
        <f ca="1">SUMIF($Q$12:$AC$30,"初期費",$W$12:$AC$30)</f>
        <v>0</v>
      </c>
      <c r="X31" s="1372"/>
      <c r="Y31" s="1372"/>
      <c r="Z31" s="1372"/>
      <c r="AA31" s="1372"/>
      <c r="AB31" s="1372"/>
      <c r="AC31" s="1372"/>
    </row>
    <row r="32" spans="2:30" ht="19.5" customHeight="1" thickBot="1">
      <c r="B32" s="1389"/>
      <c r="C32" s="1390"/>
      <c r="D32" s="1390"/>
      <c r="E32" s="1390"/>
      <c r="F32" s="1390"/>
      <c r="G32" s="1390"/>
      <c r="H32" s="1390"/>
      <c r="I32" s="1390"/>
      <c r="J32" s="1390"/>
      <c r="K32" s="1390"/>
      <c r="L32" s="1390"/>
      <c r="M32" s="1390"/>
      <c r="N32" s="1390"/>
      <c r="O32" s="1390"/>
      <c r="P32" s="1391"/>
      <c r="Q32" s="1362" t="s">
        <v>755</v>
      </c>
      <c r="R32" s="1362"/>
      <c r="S32" s="1362"/>
      <c r="T32" s="1362"/>
      <c r="U32" s="1362"/>
      <c r="V32" s="1362"/>
      <c r="W32" s="1371">
        <f ca="1">SUMIF($Q$12:$AC$30,"年額費",$W$12:$AC$30)</f>
        <v>0</v>
      </c>
      <c r="X32" s="1371"/>
      <c r="Y32" s="1371"/>
      <c r="Z32" s="1371"/>
      <c r="AA32" s="1371"/>
      <c r="AB32" s="1371"/>
      <c r="AC32" s="1371"/>
    </row>
    <row r="33" spans="2:38" ht="24" customHeight="1">
      <c r="B33" s="375" t="s">
        <v>115</v>
      </c>
    </row>
    <row r="34" spans="2:38" ht="7.5" customHeight="1" thickBot="1"/>
    <row r="35" spans="2:38" ht="19.5" customHeight="1" thickTop="1" thickBot="1">
      <c r="B35" s="793" t="s">
        <v>344</v>
      </c>
      <c r="C35" s="794"/>
      <c r="D35" s="794"/>
      <c r="E35" s="794"/>
      <c r="F35" s="794"/>
      <c r="G35" s="794"/>
      <c r="H35" s="794"/>
      <c r="I35" s="1385"/>
      <c r="J35" s="1320" t="s">
        <v>346</v>
      </c>
      <c r="K35" s="1321"/>
      <c r="L35" s="1321"/>
      <c r="M35" s="1322"/>
      <c r="N35" s="1383">
        <f>IF(ISERROR(S35*W35),0,ROUNDUP(S35*W35,0))</f>
        <v>0</v>
      </c>
      <c r="O35" s="1384"/>
      <c r="P35" t="s">
        <v>349</v>
      </c>
      <c r="R35" t="s">
        <v>184</v>
      </c>
      <c r="S35" s="535">
        <v>0</v>
      </c>
      <c r="T35" s="361" t="s">
        <v>185</v>
      </c>
      <c r="U35" s="361"/>
      <c r="V35" s="361"/>
      <c r="W35" s="535">
        <v>1</v>
      </c>
      <c r="X35" t="s">
        <v>186</v>
      </c>
      <c r="AD35" t="s">
        <v>130</v>
      </c>
    </row>
    <row r="36" spans="2:38" ht="19.5" customHeight="1" thickTop="1" thickBot="1">
      <c r="B36" s="1377" t="s">
        <v>345</v>
      </c>
      <c r="C36" s="1378"/>
      <c r="D36" s="1378"/>
      <c r="E36" s="1378"/>
      <c r="F36" s="1378"/>
      <c r="G36" s="1378"/>
      <c r="H36" s="1378"/>
      <c r="I36" s="1379"/>
      <c r="J36" s="1400" t="s">
        <v>346</v>
      </c>
      <c r="K36" s="1401"/>
      <c r="L36" s="1401"/>
      <c r="M36" s="1402"/>
      <c r="N36" s="1393">
        <f>IF(ISERROR(S36*W36),0,ROUNDUP(S36*W36,0))</f>
        <v>0</v>
      </c>
      <c r="O36" s="1394"/>
      <c r="P36" t="s">
        <v>349</v>
      </c>
      <c r="R36" t="s">
        <v>184</v>
      </c>
      <c r="S36" s="535">
        <v>0</v>
      </c>
      <c r="T36" s="361" t="s">
        <v>185</v>
      </c>
      <c r="U36" s="361"/>
      <c r="V36" s="361"/>
      <c r="W36" s="535">
        <v>1</v>
      </c>
      <c r="X36" t="s">
        <v>186</v>
      </c>
      <c r="AD36" t="s">
        <v>130</v>
      </c>
    </row>
    <row r="37" spans="2:38" ht="19.5" customHeight="1" thickTop="1" thickBot="1">
      <c r="B37" s="1380"/>
      <c r="C37" s="1381"/>
      <c r="D37" s="1381"/>
      <c r="E37" s="1381"/>
      <c r="F37" s="1381"/>
      <c r="G37" s="1381"/>
      <c r="H37" s="1381"/>
      <c r="I37" s="1382"/>
      <c r="J37" s="1397" t="s">
        <v>347</v>
      </c>
      <c r="K37" s="1398"/>
      <c r="L37" s="1398"/>
      <c r="M37" s="1399"/>
      <c r="N37" s="1395">
        <f>IF(ISERROR(S37*(12/V37)),0,ROUNDUP(S37*(12/V37),0))</f>
        <v>0</v>
      </c>
      <c r="O37" s="1396"/>
      <c r="P37" t="s">
        <v>349</v>
      </c>
      <c r="R37" t="s">
        <v>184</v>
      </c>
      <c r="S37" s="535">
        <v>0</v>
      </c>
      <c r="T37" t="s">
        <v>187</v>
      </c>
      <c r="V37" s="535">
        <v>1</v>
      </c>
      <c r="W37" t="s">
        <v>188</v>
      </c>
      <c r="Y37" s="38"/>
      <c r="AD37" t="s">
        <v>131</v>
      </c>
    </row>
    <row r="38" spans="2:38" ht="19.5" customHeight="1" thickTop="1" thickBot="1">
      <c r="B38" s="793" t="s">
        <v>364</v>
      </c>
      <c r="C38" s="794"/>
      <c r="D38" s="794"/>
      <c r="E38" s="794"/>
      <c r="F38" s="794"/>
      <c r="G38" s="794"/>
      <c r="H38" s="794"/>
      <c r="I38" s="1385"/>
      <c r="J38" s="1320" t="s">
        <v>348</v>
      </c>
      <c r="K38" s="1321"/>
      <c r="L38" s="1321"/>
      <c r="M38" s="1322"/>
      <c r="N38" s="1383">
        <f>IF(ISERROR(S38*(360/V38)*(Y38/8)),0,ROUNDUP(S38*(360/V38)*(Y38/8),0))</f>
        <v>0</v>
      </c>
      <c r="O38" s="1384"/>
      <c r="P38" t="s">
        <v>349</v>
      </c>
      <c r="R38" t="s">
        <v>184</v>
      </c>
      <c r="S38" s="535">
        <v>0</v>
      </c>
      <c r="T38" t="s">
        <v>187</v>
      </c>
      <c r="V38" s="536">
        <v>30</v>
      </c>
      <c r="W38" t="s">
        <v>189</v>
      </c>
      <c r="Y38" s="535">
        <v>1</v>
      </c>
      <c r="Z38" t="s">
        <v>190</v>
      </c>
      <c r="AD38" t="s">
        <v>191</v>
      </c>
    </row>
    <row r="39" spans="2:38" ht="19.5" customHeight="1" thickTop="1" thickBot="1">
      <c r="B39" s="793" t="s">
        <v>365</v>
      </c>
      <c r="C39" s="794"/>
      <c r="D39" s="794"/>
      <c r="E39" s="794"/>
      <c r="F39" s="794"/>
      <c r="G39" s="794"/>
      <c r="H39" s="794"/>
      <c r="I39" s="1385"/>
      <c r="J39" s="1320" t="s">
        <v>348</v>
      </c>
      <c r="K39" s="1321"/>
      <c r="L39" s="1321"/>
      <c r="M39" s="1322"/>
      <c r="N39" s="1383">
        <f>IF(ISERROR(S39*(360/V39)*(Y39/8)),0,ROUNDUP(S39*(360/V39)*(Y39/8),0))</f>
        <v>0</v>
      </c>
      <c r="O39" s="1384"/>
      <c r="P39" t="s">
        <v>349</v>
      </c>
      <c r="R39" t="s">
        <v>184</v>
      </c>
      <c r="S39" s="535">
        <v>0</v>
      </c>
      <c r="T39" t="s">
        <v>187</v>
      </c>
      <c r="V39" s="536">
        <v>30</v>
      </c>
      <c r="W39" t="s">
        <v>189</v>
      </c>
      <c r="Y39" s="535">
        <v>1</v>
      </c>
      <c r="Z39" t="s">
        <v>190</v>
      </c>
      <c r="AD39" t="s">
        <v>192</v>
      </c>
    </row>
    <row r="40" spans="2:38" ht="32.25" customHeight="1" thickBot="1">
      <c r="S40" s="532"/>
    </row>
    <row r="41" spans="2:38" ht="24" customHeight="1" thickBot="1">
      <c r="B41" s="1346" t="s">
        <v>632</v>
      </c>
      <c r="C41" s="1347"/>
      <c r="D41" s="1347"/>
      <c r="E41" s="1347"/>
      <c r="F41" s="1347"/>
      <c r="G41" s="1347"/>
      <c r="H41" s="1347"/>
      <c r="I41" s="1347"/>
      <c r="J41" s="1347"/>
      <c r="K41" s="1347"/>
      <c r="L41" s="1347"/>
      <c r="M41" s="1347"/>
      <c r="N41" s="1347"/>
      <c r="O41" s="1347"/>
      <c r="P41" s="1347"/>
      <c r="Q41" s="1347"/>
      <c r="R41" s="1347"/>
      <c r="S41" s="1347"/>
      <c r="T41" s="1347"/>
      <c r="U41" s="1347"/>
      <c r="V41" s="1347"/>
      <c r="W41" s="1347"/>
      <c r="X41" s="1347"/>
      <c r="Y41" s="1347"/>
      <c r="Z41" s="1347"/>
      <c r="AA41" s="1347"/>
      <c r="AB41" s="1347"/>
      <c r="AC41" s="1348"/>
    </row>
    <row r="42" spans="2:38" ht="24" customHeight="1" thickTop="1" thickBot="1">
      <c r="B42" s="375" t="s">
        <v>114</v>
      </c>
      <c r="AK42" s="536">
        <v>1</v>
      </c>
      <c r="AL42" t="s">
        <v>227</v>
      </c>
    </row>
    <row r="43" spans="2:38" ht="7.5" customHeight="1" thickTop="1" thickBot="1"/>
    <row r="44" spans="2:38" ht="19.5" customHeight="1" thickTop="1" thickBot="1">
      <c r="B44" s="1373" t="s">
        <v>636</v>
      </c>
      <c r="C44" s="1373"/>
      <c r="D44" s="1373"/>
      <c r="E44" s="1373"/>
      <c r="F44" s="1373"/>
      <c r="G44" s="1373"/>
      <c r="H44" s="1373"/>
      <c r="I44" s="1331" t="s">
        <v>637</v>
      </c>
      <c r="J44" s="1331"/>
      <c r="K44" s="1331"/>
      <c r="L44" s="1331"/>
      <c r="M44" s="1331"/>
      <c r="N44" s="1331"/>
      <c r="O44" s="1331"/>
      <c r="P44" s="1331"/>
      <c r="Q44" s="1335" t="s">
        <v>628</v>
      </c>
      <c r="R44" s="1335"/>
      <c r="S44" s="1335"/>
      <c r="T44" s="1335"/>
      <c r="U44" s="1335"/>
      <c r="V44" s="1335"/>
      <c r="W44" s="1356">
        <v>0</v>
      </c>
      <c r="X44" s="1357"/>
      <c r="Y44" s="1357"/>
      <c r="Z44" s="1357"/>
      <c r="AA44" s="1357"/>
      <c r="AB44" s="1357"/>
      <c r="AC44" s="1358"/>
      <c r="AD44" t="s">
        <v>640</v>
      </c>
    </row>
    <row r="45" spans="2:38" ht="19.5" customHeight="1" thickBot="1">
      <c r="B45" s="1373"/>
      <c r="C45" s="1373"/>
      <c r="D45" s="1373"/>
      <c r="E45" s="1373"/>
      <c r="F45" s="1373"/>
      <c r="G45" s="1373"/>
      <c r="H45" s="1373"/>
      <c r="I45" s="1332"/>
      <c r="J45" s="1332"/>
      <c r="K45" s="1332"/>
      <c r="L45" s="1332"/>
      <c r="M45" s="1332"/>
      <c r="N45" s="1332"/>
      <c r="O45" s="1332"/>
      <c r="P45" s="1332"/>
      <c r="Q45" s="1340" t="s">
        <v>629</v>
      </c>
      <c r="R45" s="1340"/>
      <c r="S45" s="1340"/>
      <c r="T45" s="1340"/>
      <c r="U45" s="1340"/>
      <c r="V45" s="1340"/>
      <c r="W45" s="1342">
        <f>W44*0.1</f>
        <v>0</v>
      </c>
      <c r="X45" s="1343"/>
      <c r="Y45" s="1343"/>
      <c r="Z45" s="1343"/>
      <c r="AA45" s="1343"/>
      <c r="AB45" s="1343"/>
      <c r="AC45" s="1344"/>
      <c r="AD45" t="s">
        <v>640</v>
      </c>
    </row>
    <row r="46" spans="2:38" ht="19.5" customHeight="1" thickTop="1" thickBot="1">
      <c r="B46" s="1373"/>
      <c r="C46" s="1373"/>
      <c r="D46" s="1373"/>
      <c r="E46" s="1373"/>
      <c r="F46" s="1373"/>
      <c r="G46" s="1373"/>
      <c r="H46" s="1373"/>
      <c r="I46" s="1332" t="s">
        <v>638</v>
      </c>
      <c r="J46" s="1332"/>
      <c r="K46" s="1332"/>
      <c r="L46" s="1332"/>
      <c r="M46" s="1332"/>
      <c r="N46" s="1332"/>
      <c r="O46" s="1332"/>
      <c r="P46" s="1332"/>
      <c r="Q46" s="1340" t="s">
        <v>628</v>
      </c>
      <c r="R46" s="1340"/>
      <c r="S46" s="1340"/>
      <c r="T46" s="1340"/>
      <c r="U46" s="1340"/>
      <c r="V46" s="1340"/>
      <c r="W46" s="1327">
        <v>0</v>
      </c>
      <c r="X46" s="1328"/>
      <c r="Y46" s="1328"/>
      <c r="Z46" s="1328"/>
      <c r="AA46" s="1328"/>
      <c r="AB46" s="1328"/>
      <c r="AC46" s="1329"/>
      <c r="AD46" t="s">
        <v>640</v>
      </c>
    </row>
    <row r="47" spans="2:38" ht="19.5" customHeight="1" thickBot="1">
      <c r="B47" s="1373"/>
      <c r="C47" s="1373"/>
      <c r="D47" s="1373"/>
      <c r="E47" s="1373"/>
      <c r="F47" s="1373"/>
      <c r="G47" s="1373"/>
      <c r="H47" s="1373"/>
      <c r="I47" s="1333"/>
      <c r="J47" s="1333"/>
      <c r="K47" s="1333"/>
      <c r="L47" s="1333"/>
      <c r="M47" s="1333"/>
      <c r="N47" s="1333"/>
      <c r="O47" s="1333"/>
      <c r="P47" s="1333"/>
      <c r="Q47" s="1341" t="s">
        <v>629</v>
      </c>
      <c r="R47" s="1341"/>
      <c r="S47" s="1341"/>
      <c r="T47" s="1341"/>
      <c r="U47" s="1341"/>
      <c r="V47" s="1341"/>
      <c r="W47" s="1345">
        <f>W46*0.1</f>
        <v>0</v>
      </c>
      <c r="X47" s="1345"/>
      <c r="Y47" s="1345"/>
      <c r="Z47" s="1345"/>
      <c r="AA47" s="1345"/>
      <c r="AB47" s="1345"/>
      <c r="AC47" s="1345"/>
      <c r="AD47" t="s">
        <v>640</v>
      </c>
    </row>
    <row r="48" spans="2:38" ht="19.5" customHeight="1" thickTop="1" thickBot="1">
      <c r="B48" s="1331" t="s">
        <v>625</v>
      </c>
      <c r="C48" s="1331"/>
      <c r="D48" s="1331"/>
      <c r="E48" s="1331"/>
      <c r="F48" s="1331"/>
      <c r="G48" s="1331"/>
      <c r="H48" s="1331"/>
      <c r="I48" s="1331" t="s">
        <v>626</v>
      </c>
      <c r="J48" s="1331"/>
      <c r="K48" s="1331"/>
      <c r="L48" s="1331"/>
      <c r="M48" s="1331"/>
      <c r="N48" s="1331"/>
      <c r="O48" s="1331"/>
      <c r="P48" s="1331"/>
      <c r="Q48" s="1335" t="s">
        <v>628</v>
      </c>
      <c r="R48" s="1335"/>
      <c r="S48" s="1335"/>
      <c r="T48" s="1335"/>
      <c r="U48" s="1335"/>
      <c r="V48" s="1335"/>
      <c r="W48" s="1356">
        <v>1500000</v>
      </c>
      <c r="X48" s="1357"/>
      <c r="Y48" s="1357"/>
      <c r="Z48" s="1357"/>
      <c r="AA48" s="1357"/>
      <c r="AB48" s="1357"/>
      <c r="AC48" s="1358"/>
      <c r="AD48" t="s">
        <v>231</v>
      </c>
    </row>
    <row r="49" spans="2:43" ht="19.5" customHeight="1" thickTop="1" thickBot="1">
      <c r="B49" s="1332"/>
      <c r="C49" s="1332"/>
      <c r="D49" s="1332"/>
      <c r="E49" s="1332"/>
      <c r="F49" s="1332"/>
      <c r="G49" s="1332"/>
      <c r="H49" s="1332"/>
      <c r="I49" s="1332"/>
      <c r="J49" s="1332"/>
      <c r="K49" s="1332"/>
      <c r="L49" s="1332"/>
      <c r="M49" s="1332"/>
      <c r="N49" s="1332"/>
      <c r="O49" s="1332"/>
      <c r="P49" s="1332"/>
      <c r="Q49" s="1340" t="s">
        <v>629</v>
      </c>
      <c r="R49" s="1340"/>
      <c r="S49" s="1340"/>
      <c r="T49" s="1340"/>
      <c r="U49" s="1340"/>
      <c r="V49" s="1340"/>
      <c r="W49" s="1330">
        <f>W48*0.1</f>
        <v>150000</v>
      </c>
      <c r="X49" s="1330"/>
      <c r="Y49" s="1330"/>
      <c r="Z49" s="1330"/>
      <c r="AA49" s="1330"/>
      <c r="AB49" s="1330"/>
      <c r="AC49" s="1330"/>
      <c r="AD49" t="s">
        <v>231</v>
      </c>
    </row>
    <row r="50" spans="2:43" ht="19.5" customHeight="1" thickTop="1" thickBot="1">
      <c r="B50" s="1332"/>
      <c r="C50" s="1332"/>
      <c r="D50" s="1332"/>
      <c r="E50" s="1332"/>
      <c r="F50" s="1332"/>
      <c r="G50" s="1332"/>
      <c r="H50" s="1332"/>
      <c r="I50" s="1332" t="s">
        <v>627</v>
      </c>
      <c r="J50" s="1332"/>
      <c r="K50" s="1332"/>
      <c r="L50" s="1332"/>
      <c r="M50" s="1332"/>
      <c r="N50" s="1332"/>
      <c r="O50" s="1332"/>
      <c r="P50" s="1332"/>
      <c r="Q50" s="1340" t="s">
        <v>628</v>
      </c>
      <c r="R50" s="1340"/>
      <c r="S50" s="1340"/>
      <c r="T50" s="1340"/>
      <c r="U50" s="1340"/>
      <c r="V50" s="1340"/>
      <c r="W50" s="1327">
        <v>0</v>
      </c>
      <c r="X50" s="1328"/>
      <c r="Y50" s="1328"/>
      <c r="Z50" s="1328"/>
      <c r="AA50" s="1328"/>
      <c r="AB50" s="1328"/>
      <c r="AC50" s="1329"/>
      <c r="AD50" t="s">
        <v>231</v>
      </c>
    </row>
    <row r="51" spans="2:43" ht="19.5" customHeight="1" thickTop="1" thickBot="1">
      <c r="B51" s="1333"/>
      <c r="C51" s="1333"/>
      <c r="D51" s="1333"/>
      <c r="E51" s="1333"/>
      <c r="F51" s="1333"/>
      <c r="G51" s="1333"/>
      <c r="H51" s="1333"/>
      <c r="I51" s="1333"/>
      <c r="J51" s="1333"/>
      <c r="K51" s="1333"/>
      <c r="L51" s="1333"/>
      <c r="M51" s="1333"/>
      <c r="N51" s="1333"/>
      <c r="O51" s="1333"/>
      <c r="P51" s="1333"/>
      <c r="Q51" s="1341" t="s">
        <v>629</v>
      </c>
      <c r="R51" s="1341"/>
      <c r="S51" s="1341"/>
      <c r="T51" s="1341"/>
      <c r="U51" s="1341"/>
      <c r="V51" s="1341"/>
      <c r="W51" s="1363">
        <f>W50*0.1</f>
        <v>0</v>
      </c>
      <c r="X51" s="1363"/>
      <c r="Y51" s="1363"/>
      <c r="Z51" s="1363"/>
      <c r="AA51" s="1363"/>
      <c r="AB51" s="1363"/>
      <c r="AC51" s="1363"/>
      <c r="AD51" t="s">
        <v>231</v>
      </c>
    </row>
    <row r="52" spans="2:43" ht="19.5" customHeight="1" thickTop="1" thickBot="1">
      <c r="B52" s="1331" t="s">
        <v>630</v>
      </c>
      <c r="C52" s="1331"/>
      <c r="D52" s="1331"/>
      <c r="E52" s="1331"/>
      <c r="F52" s="1331"/>
      <c r="G52" s="1331"/>
      <c r="H52" s="1331"/>
      <c r="I52" s="1334" t="s">
        <v>282</v>
      </c>
      <c r="J52" s="1331"/>
      <c r="K52" s="1331"/>
      <c r="L52" s="1331"/>
      <c r="M52" s="1331"/>
      <c r="N52" s="1331"/>
      <c r="O52" s="1331"/>
      <c r="P52" s="1331"/>
      <c r="Q52" s="1335" t="s">
        <v>628</v>
      </c>
      <c r="R52" s="1335"/>
      <c r="S52" s="1335"/>
      <c r="T52" s="1335"/>
      <c r="U52" s="1335"/>
      <c r="V52" s="1405"/>
      <c r="W52" s="1356">
        <v>130000</v>
      </c>
      <c r="X52" s="1357"/>
      <c r="Y52" s="1357"/>
      <c r="Z52" s="1357"/>
      <c r="AA52" s="1357"/>
      <c r="AB52" s="1357"/>
      <c r="AC52" s="1358"/>
      <c r="AK52" s="82"/>
      <c r="AL52" s="82"/>
      <c r="AM52" s="82"/>
      <c r="AN52" s="82"/>
      <c r="AO52" s="82"/>
      <c r="AP52" s="82"/>
      <c r="AQ52" s="82"/>
    </row>
    <row r="53" spans="2:43" ht="19.5" customHeight="1" thickTop="1" thickBot="1">
      <c r="B53" s="1332"/>
      <c r="C53" s="1332"/>
      <c r="D53" s="1332"/>
      <c r="E53" s="1332"/>
      <c r="F53" s="1332"/>
      <c r="G53" s="1332"/>
      <c r="H53" s="1332"/>
      <c r="I53" s="1332"/>
      <c r="J53" s="1332"/>
      <c r="K53" s="1332"/>
      <c r="L53" s="1332"/>
      <c r="M53" s="1332"/>
      <c r="N53" s="1332"/>
      <c r="O53" s="1332"/>
      <c r="P53" s="1332"/>
      <c r="Q53" s="1340" t="s">
        <v>629</v>
      </c>
      <c r="R53" s="1340"/>
      <c r="S53" s="1340"/>
      <c r="T53" s="1340"/>
      <c r="U53" s="1340"/>
      <c r="V53" s="1340"/>
      <c r="W53" s="1359">
        <f>AK53*12</f>
        <v>120000</v>
      </c>
      <c r="X53" s="1359"/>
      <c r="Y53" s="1359"/>
      <c r="Z53" s="1359"/>
      <c r="AA53" s="1359"/>
      <c r="AB53" s="1359"/>
      <c r="AC53" s="1359"/>
      <c r="AE53" s="1433" t="s">
        <v>601</v>
      </c>
      <c r="AF53" s="1340"/>
      <c r="AG53" s="1340"/>
      <c r="AH53" s="1340"/>
      <c r="AI53" s="1340"/>
      <c r="AJ53" s="1340"/>
      <c r="AK53" s="1442">
        <v>10000</v>
      </c>
      <c r="AL53" s="1443"/>
      <c r="AM53" s="1443"/>
      <c r="AN53" s="1443"/>
      <c r="AO53" s="1443"/>
      <c r="AP53" s="1443"/>
      <c r="AQ53" s="1444"/>
    </row>
    <row r="54" spans="2:43" ht="19.5" customHeight="1" thickTop="1" thickBot="1">
      <c r="B54" s="1332"/>
      <c r="C54" s="1332"/>
      <c r="D54" s="1332"/>
      <c r="E54" s="1332"/>
      <c r="F54" s="1332"/>
      <c r="G54" s="1332"/>
      <c r="H54" s="1332"/>
      <c r="I54" s="1360" t="s">
        <v>284</v>
      </c>
      <c r="J54" s="1332"/>
      <c r="K54" s="1332"/>
      <c r="L54" s="1332"/>
      <c r="M54" s="1332"/>
      <c r="N54" s="1332"/>
      <c r="O54" s="1332"/>
      <c r="P54" s="1332"/>
      <c r="Q54" s="1340" t="s">
        <v>628</v>
      </c>
      <c r="R54" s="1340"/>
      <c r="S54" s="1340"/>
      <c r="T54" s="1340"/>
      <c r="U54" s="1340"/>
      <c r="V54" s="1409"/>
      <c r="W54" s="1327">
        <f>AK55*10</f>
        <v>0</v>
      </c>
      <c r="X54" s="1328"/>
      <c r="Y54" s="1328"/>
      <c r="Z54" s="1328"/>
      <c r="AA54" s="1328"/>
      <c r="AB54" s="1328"/>
      <c r="AC54" s="1329"/>
      <c r="AK54" s="82"/>
      <c r="AL54" s="82"/>
      <c r="AM54" s="82"/>
      <c r="AN54" s="82"/>
      <c r="AO54" s="82"/>
      <c r="AP54" s="82"/>
      <c r="AQ54" s="82"/>
    </row>
    <row r="55" spans="2:43" ht="19.5" customHeight="1" thickTop="1" thickBot="1">
      <c r="B55" s="1332"/>
      <c r="C55" s="1332"/>
      <c r="D55" s="1332"/>
      <c r="E55" s="1332"/>
      <c r="F55" s="1332"/>
      <c r="G55" s="1332"/>
      <c r="H55" s="1332"/>
      <c r="I55" s="1332"/>
      <c r="J55" s="1332"/>
      <c r="K55" s="1332"/>
      <c r="L55" s="1332"/>
      <c r="M55" s="1332"/>
      <c r="N55" s="1332"/>
      <c r="O55" s="1332"/>
      <c r="P55" s="1332"/>
      <c r="Q55" s="1340" t="s">
        <v>629</v>
      </c>
      <c r="R55" s="1340"/>
      <c r="S55" s="1340"/>
      <c r="T55" s="1340"/>
      <c r="U55" s="1340"/>
      <c r="V55" s="1340"/>
      <c r="W55" s="1359">
        <f>AK55*12</f>
        <v>0</v>
      </c>
      <c r="X55" s="1359"/>
      <c r="Y55" s="1359"/>
      <c r="Z55" s="1359"/>
      <c r="AA55" s="1359"/>
      <c r="AB55" s="1359"/>
      <c r="AC55" s="1359"/>
      <c r="AE55" s="1433" t="s">
        <v>601</v>
      </c>
      <c r="AF55" s="1340"/>
      <c r="AG55" s="1340"/>
      <c r="AH55" s="1340"/>
      <c r="AI55" s="1340"/>
      <c r="AJ55" s="1340"/>
      <c r="AK55" s="1442">
        <v>0</v>
      </c>
      <c r="AL55" s="1443"/>
      <c r="AM55" s="1443"/>
      <c r="AN55" s="1443"/>
      <c r="AO55" s="1443"/>
      <c r="AP55" s="1443"/>
      <c r="AQ55" s="1444"/>
    </row>
    <row r="56" spans="2:43" ht="19.5" customHeight="1" thickTop="1" thickBot="1">
      <c r="B56" s="1332"/>
      <c r="C56" s="1332"/>
      <c r="D56" s="1332"/>
      <c r="E56" s="1332"/>
      <c r="F56" s="1332"/>
      <c r="G56" s="1332"/>
      <c r="H56" s="1332"/>
      <c r="I56" s="1332" t="s">
        <v>631</v>
      </c>
      <c r="J56" s="1332"/>
      <c r="K56" s="1332"/>
      <c r="L56" s="1332"/>
      <c r="M56" s="1332"/>
      <c r="N56" s="1332"/>
      <c r="O56" s="1332"/>
      <c r="P56" s="1332"/>
      <c r="Q56" s="1340" t="s">
        <v>628</v>
      </c>
      <c r="R56" s="1340"/>
      <c r="S56" s="1340"/>
      <c r="T56" s="1340"/>
      <c r="U56" s="1340"/>
      <c r="V56" s="1409"/>
      <c r="W56" s="1356">
        <f>AK57*10</f>
        <v>0</v>
      </c>
      <c r="X56" s="1357"/>
      <c r="Y56" s="1357"/>
      <c r="Z56" s="1357"/>
      <c r="AA56" s="1357"/>
      <c r="AB56" s="1357"/>
      <c r="AC56" s="1358"/>
      <c r="AK56" s="82"/>
      <c r="AL56" s="82"/>
      <c r="AM56" s="82"/>
      <c r="AN56" s="82"/>
      <c r="AO56" s="82"/>
      <c r="AP56" s="82"/>
      <c r="AQ56" s="82"/>
    </row>
    <row r="57" spans="2:43" ht="19.5" customHeight="1" thickTop="1" thickBot="1">
      <c r="B57" s="1333"/>
      <c r="C57" s="1333"/>
      <c r="D57" s="1333"/>
      <c r="E57" s="1333"/>
      <c r="F57" s="1333"/>
      <c r="G57" s="1333"/>
      <c r="H57" s="1333"/>
      <c r="I57" s="1333"/>
      <c r="J57" s="1333"/>
      <c r="K57" s="1333"/>
      <c r="L57" s="1333"/>
      <c r="M57" s="1333"/>
      <c r="N57" s="1333"/>
      <c r="O57" s="1333"/>
      <c r="P57" s="1333"/>
      <c r="Q57" s="1341" t="s">
        <v>629</v>
      </c>
      <c r="R57" s="1341"/>
      <c r="S57" s="1341"/>
      <c r="T57" s="1341"/>
      <c r="U57" s="1341"/>
      <c r="V57" s="1341"/>
      <c r="W57" s="1361">
        <f>AK57*12</f>
        <v>0</v>
      </c>
      <c r="X57" s="1361"/>
      <c r="Y57" s="1361"/>
      <c r="Z57" s="1361"/>
      <c r="AA57" s="1361"/>
      <c r="AB57" s="1361"/>
      <c r="AC57" s="1361"/>
      <c r="AE57" s="1433" t="s">
        <v>601</v>
      </c>
      <c r="AF57" s="1340"/>
      <c r="AG57" s="1340"/>
      <c r="AH57" s="1340"/>
      <c r="AI57" s="1340"/>
      <c r="AJ57" s="1340"/>
      <c r="AK57" s="1445">
        <v>0</v>
      </c>
      <c r="AL57" s="1446"/>
      <c r="AM57" s="1446"/>
      <c r="AN57" s="1446"/>
      <c r="AO57" s="1446"/>
      <c r="AP57" s="1446"/>
      <c r="AQ57" s="1447"/>
    </row>
    <row r="58" spans="2:43" ht="19.5" customHeight="1" thickBot="1">
      <c r="B58" s="1377" t="s">
        <v>633</v>
      </c>
      <c r="C58" s="1378"/>
      <c r="D58" s="1378"/>
      <c r="E58" s="1378"/>
      <c r="F58" s="1378"/>
      <c r="G58" s="1378"/>
      <c r="H58" s="1379"/>
      <c r="I58" s="1377"/>
      <c r="J58" s="1378"/>
      <c r="K58" s="1378"/>
      <c r="L58" s="1378"/>
      <c r="M58" s="1378"/>
      <c r="N58" s="1378"/>
      <c r="O58" s="1378"/>
      <c r="P58" s="1379"/>
      <c r="Q58" s="1335" t="s">
        <v>634</v>
      </c>
      <c r="R58" s="1335"/>
      <c r="S58" s="1335"/>
      <c r="T58" s="1335"/>
      <c r="U58" s="1335"/>
      <c r="V58" s="1335"/>
      <c r="W58" s="1366" t="s">
        <v>569</v>
      </c>
      <c r="X58" s="1367"/>
      <c r="Y58" s="1367"/>
      <c r="Z58" s="1367"/>
      <c r="AA58" s="1367"/>
      <c r="AB58" s="1367"/>
      <c r="AC58" s="1368"/>
    </row>
    <row r="59" spans="2:43" ht="19.5" customHeight="1" thickTop="1" thickBot="1">
      <c r="B59" s="1406"/>
      <c r="C59" s="1407"/>
      <c r="D59" s="1407"/>
      <c r="E59" s="1407"/>
      <c r="F59" s="1407"/>
      <c r="G59" s="1407"/>
      <c r="H59" s="1408"/>
      <c r="I59" s="1406"/>
      <c r="J59" s="1407"/>
      <c r="K59" s="1407"/>
      <c r="L59" s="1407"/>
      <c r="M59" s="1407"/>
      <c r="N59" s="1407"/>
      <c r="O59" s="1407"/>
      <c r="P59" s="1408"/>
      <c r="Q59" s="1340" t="s">
        <v>628</v>
      </c>
      <c r="R59" s="1340"/>
      <c r="S59" s="1340"/>
      <c r="T59" s="1340"/>
      <c r="U59" s="1340"/>
      <c r="V59" s="1340"/>
      <c r="W59" s="1356">
        <v>0</v>
      </c>
      <c r="X59" s="1357"/>
      <c r="Y59" s="1357"/>
      <c r="Z59" s="1357"/>
      <c r="AA59" s="1357"/>
      <c r="AB59" s="1357"/>
      <c r="AC59" s="1358"/>
    </row>
    <row r="60" spans="2:43" ht="19.5" customHeight="1" thickTop="1" thickBot="1">
      <c r="B60" s="1380"/>
      <c r="C60" s="1381"/>
      <c r="D60" s="1381"/>
      <c r="E60" s="1381"/>
      <c r="F60" s="1381"/>
      <c r="G60" s="1381"/>
      <c r="H60" s="1382"/>
      <c r="I60" s="1380"/>
      <c r="J60" s="1381"/>
      <c r="K60" s="1381"/>
      <c r="L60" s="1381"/>
      <c r="M60" s="1381"/>
      <c r="N60" s="1381"/>
      <c r="O60" s="1381"/>
      <c r="P60" s="1382"/>
      <c r="Q60" s="1341" t="s">
        <v>629</v>
      </c>
      <c r="R60" s="1341"/>
      <c r="S60" s="1341"/>
      <c r="T60" s="1341"/>
      <c r="U60" s="1341"/>
      <c r="V60" s="1341"/>
      <c r="W60" s="1364">
        <f>W59*0.1</f>
        <v>0</v>
      </c>
      <c r="X60" s="1364"/>
      <c r="Y60" s="1364"/>
      <c r="Z60" s="1364"/>
      <c r="AA60" s="1364"/>
      <c r="AB60" s="1364"/>
      <c r="AC60" s="1364"/>
    </row>
    <row r="61" spans="2:43" ht="19.5" customHeight="1" thickTop="1" thickBot="1">
      <c r="B61" s="1373" t="s">
        <v>342</v>
      </c>
      <c r="C61" s="1373"/>
      <c r="D61" s="1373"/>
      <c r="E61" s="1373"/>
      <c r="F61" s="1373"/>
      <c r="G61" s="1373"/>
      <c r="H61" s="1373"/>
      <c r="I61" s="1373"/>
      <c r="J61" s="1373"/>
      <c r="K61" s="1373"/>
      <c r="L61" s="1373"/>
      <c r="M61" s="1373"/>
      <c r="N61" s="1373"/>
      <c r="O61" s="1373"/>
      <c r="P61" s="1373"/>
      <c r="Q61" s="1335" t="s">
        <v>628</v>
      </c>
      <c r="R61" s="1335"/>
      <c r="S61" s="1335"/>
      <c r="T61" s="1335"/>
      <c r="U61" s="1335"/>
      <c r="V61" s="1335"/>
      <c r="W61" s="1356">
        <v>0</v>
      </c>
      <c r="X61" s="1357"/>
      <c r="Y61" s="1357"/>
      <c r="Z61" s="1357"/>
      <c r="AA61" s="1357"/>
      <c r="AB61" s="1357"/>
      <c r="AC61" s="1358"/>
      <c r="AD61" t="s">
        <v>343</v>
      </c>
    </row>
    <row r="62" spans="2:43" ht="19.5" customHeight="1" thickBot="1">
      <c r="B62" s="1373"/>
      <c r="C62" s="1373"/>
      <c r="D62" s="1373"/>
      <c r="E62" s="1373"/>
      <c r="F62" s="1373"/>
      <c r="G62" s="1373"/>
      <c r="H62" s="1373"/>
      <c r="I62" s="1373"/>
      <c r="J62" s="1373"/>
      <c r="K62" s="1373"/>
      <c r="L62" s="1373"/>
      <c r="M62" s="1373"/>
      <c r="N62" s="1373"/>
      <c r="O62" s="1373"/>
      <c r="P62" s="1373"/>
      <c r="Q62" s="1341" t="s">
        <v>629</v>
      </c>
      <c r="R62" s="1341"/>
      <c r="S62" s="1341"/>
      <c r="T62" s="1341"/>
      <c r="U62" s="1341"/>
      <c r="V62" s="1341"/>
      <c r="W62" s="1365">
        <v>0</v>
      </c>
      <c r="X62" s="1365"/>
      <c r="Y62" s="1365"/>
      <c r="Z62" s="1365"/>
      <c r="AA62" s="1365"/>
      <c r="AB62" s="1365"/>
      <c r="AC62" s="1365"/>
      <c r="AD62" t="s">
        <v>343</v>
      </c>
    </row>
    <row r="63" spans="2:43" ht="19.5" customHeight="1">
      <c r="B63" s="1386" t="s">
        <v>590</v>
      </c>
      <c r="C63" s="1387"/>
      <c r="D63" s="1387"/>
      <c r="E63" s="1387"/>
      <c r="F63" s="1387"/>
      <c r="G63" s="1387"/>
      <c r="H63" s="1387"/>
      <c r="I63" s="1387"/>
      <c r="J63" s="1387"/>
      <c r="K63" s="1387"/>
      <c r="L63" s="1387"/>
      <c r="M63" s="1387"/>
      <c r="N63" s="1387"/>
      <c r="O63" s="1387"/>
      <c r="P63" s="1388"/>
      <c r="Q63" s="1392" t="s">
        <v>754</v>
      </c>
      <c r="R63" s="1392"/>
      <c r="S63" s="1392"/>
      <c r="T63" s="1392"/>
      <c r="U63" s="1392"/>
      <c r="V63" s="1392"/>
      <c r="W63" s="1369">
        <f ca="1">SUMIF($Q$44:$AC$62,"初期費",$W$44:$AC$62)</f>
        <v>1630000</v>
      </c>
      <c r="X63" s="1369"/>
      <c r="Y63" s="1369"/>
      <c r="Z63" s="1369"/>
      <c r="AA63" s="1369"/>
      <c r="AB63" s="1369"/>
      <c r="AC63" s="1369"/>
    </row>
    <row r="64" spans="2:43" ht="19.5" customHeight="1" thickBot="1">
      <c r="B64" s="1389"/>
      <c r="C64" s="1390"/>
      <c r="D64" s="1390"/>
      <c r="E64" s="1390"/>
      <c r="F64" s="1390"/>
      <c r="G64" s="1390"/>
      <c r="H64" s="1390"/>
      <c r="I64" s="1390"/>
      <c r="J64" s="1390"/>
      <c r="K64" s="1390"/>
      <c r="L64" s="1390"/>
      <c r="M64" s="1390"/>
      <c r="N64" s="1390"/>
      <c r="O64" s="1390"/>
      <c r="P64" s="1391"/>
      <c r="Q64" s="1362" t="s">
        <v>755</v>
      </c>
      <c r="R64" s="1362"/>
      <c r="S64" s="1362"/>
      <c r="T64" s="1362"/>
      <c r="U64" s="1362"/>
      <c r="V64" s="1362"/>
      <c r="W64" s="1370">
        <f ca="1">SUMIF($Q$44:$AC$62,"年額費",$W$44:$AC$62)</f>
        <v>270000</v>
      </c>
      <c r="X64" s="1370"/>
      <c r="Y64" s="1370"/>
      <c r="Z64" s="1370"/>
      <c r="AA64" s="1370"/>
      <c r="AB64" s="1370"/>
      <c r="AC64" s="1370"/>
      <c r="AE64" s="1436" t="s">
        <v>602</v>
      </c>
      <c r="AF64" s="1437"/>
      <c r="AG64" s="1437"/>
      <c r="AH64" s="1437"/>
      <c r="AI64" s="1437"/>
      <c r="AJ64" s="1437"/>
      <c r="AK64" s="1342">
        <f ca="1">W64/12</f>
        <v>22500</v>
      </c>
      <c r="AL64" s="1343"/>
      <c r="AM64" s="1343"/>
      <c r="AN64" s="1343"/>
      <c r="AO64" s="1343"/>
      <c r="AP64" s="1343"/>
      <c r="AQ64" s="1438"/>
    </row>
    <row r="65" spans="2:43" ht="24" customHeight="1">
      <c r="B65" s="375" t="s">
        <v>115</v>
      </c>
      <c r="AE65" s="1436" t="s">
        <v>228</v>
      </c>
      <c r="AF65" s="1437"/>
      <c r="AG65" s="1437"/>
      <c r="AH65" s="1437"/>
      <c r="AI65" s="1437"/>
      <c r="AJ65" s="1437"/>
      <c r="AK65" s="1439">
        <f ca="1">AK64/AK42</f>
        <v>22500</v>
      </c>
      <c r="AL65" s="1440"/>
      <c r="AM65" s="1440"/>
      <c r="AN65" s="1440"/>
      <c r="AO65" s="1440"/>
      <c r="AP65" s="1440"/>
      <c r="AQ65" s="1441"/>
    </row>
    <row r="66" spans="2:43" ht="7.5" customHeight="1" thickBot="1"/>
    <row r="67" spans="2:43" ht="19.5" customHeight="1" thickTop="1" thickBot="1">
      <c r="B67" s="793" t="s">
        <v>344</v>
      </c>
      <c r="C67" s="794"/>
      <c r="D67" s="794"/>
      <c r="E67" s="794"/>
      <c r="F67" s="794"/>
      <c r="G67" s="794"/>
      <c r="H67" s="794"/>
      <c r="I67" s="1385"/>
      <c r="J67" s="1320" t="s">
        <v>346</v>
      </c>
      <c r="K67" s="1321"/>
      <c r="L67" s="1321"/>
      <c r="M67" s="1322"/>
      <c r="N67" s="1403">
        <f>IF(ISERROR(S67*W67),0,ROUNDUP(S67*W67,0))</f>
        <v>0</v>
      </c>
      <c r="O67" s="1404"/>
      <c r="P67" t="s">
        <v>349</v>
      </c>
      <c r="R67" t="s">
        <v>184</v>
      </c>
      <c r="S67" s="588">
        <v>0</v>
      </c>
      <c r="T67" s="361" t="s">
        <v>185</v>
      </c>
      <c r="U67" s="361"/>
      <c r="V67" s="361"/>
      <c r="W67" s="588">
        <v>1</v>
      </c>
      <c r="X67" t="s">
        <v>186</v>
      </c>
      <c r="AD67" t="s">
        <v>130</v>
      </c>
    </row>
    <row r="68" spans="2:43" ht="19.5" customHeight="1" thickTop="1" thickBot="1">
      <c r="B68" s="1377" t="s">
        <v>345</v>
      </c>
      <c r="C68" s="1378"/>
      <c r="D68" s="1378"/>
      <c r="E68" s="1378"/>
      <c r="F68" s="1378"/>
      <c r="G68" s="1378"/>
      <c r="H68" s="1378"/>
      <c r="I68" s="1379"/>
      <c r="J68" s="1400" t="s">
        <v>346</v>
      </c>
      <c r="K68" s="1401"/>
      <c r="L68" s="1401"/>
      <c r="M68" s="1402"/>
      <c r="N68" s="1429">
        <f>IF(ISERROR(S68*W68),0,ROUNDUP(S68*W68,0))</f>
        <v>0</v>
      </c>
      <c r="O68" s="1430"/>
      <c r="P68" t="s">
        <v>349</v>
      </c>
      <c r="R68" t="s">
        <v>184</v>
      </c>
      <c r="S68" s="588">
        <v>0</v>
      </c>
      <c r="T68" s="361" t="s">
        <v>185</v>
      </c>
      <c r="U68" s="361"/>
      <c r="V68" s="361"/>
      <c r="W68" s="588">
        <v>1</v>
      </c>
      <c r="X68" t="s">
        <v>186</v>
      </c>
      <c r="AD68" t="s">
        <v>130</v>
      </c>
    </row>
    <row r="69" spans="2:43" ht="19.5" customHeight="1" thickTop="1" thickBot="1">
      <c r="B69" s="1380"/>
      <c r="C69" s="1381"/>
      <c r="D69" s="1381"/>
      <c r="E69" s="1381"/>
      <c r="F69" s="1381"/>
      <c r="G69" s="1381"/>
      <c r="H69" s="1381"/>
      <c r="I69" s="1382"/>
      <c r="J69" s="1397" t="s">
        <v>347</v>
      </c>
      <c r="K69" s="1398"/>
      <c r="L69" s="1398"/>
      <c r="M69" s="1399"/>
      <c r="N69" s="1431">
        <f>IF(ISERROR(S69*(12/V69)),0,ROUNDUP(S69*(12/V69),0))</f>
        <v>0</v>
      </c>
      <c r="O69" s="1432"/>
      <c r="P69" t="s">
        <v>349</v>
      </c>
      <c r="R69" t="s">
        <v>184</v>
      </c>
      <c r="S69" s="588">
        <v>0</v>
      </c>
      <c r="T69" t="s">
        <v>187</v>
      </c>
      <c r="V69" s="588">
        <v>1</v>
      </c>
      <c r="W69" t="s">
        <v>188</v>
      </c>
      <c r="Y69" s="38"/>
      <c r="AD69" t="s">
        <v>131</v>
      </c>
    </row>
    <row r="70" spans="2:43" ht="19.5" customHeight="1" thickTop="1" thickBot="1">
      <c r="B70" s="793" t="s">
        <v>364</v>
      </c>
      <c r="C70" s="794"/>
      <c r="D70" s="794"/>
      <c r="E70" s="794"/>
      <c r="F70" s="794"/>
      <c r="G70" s="794"/>
      <c r="H70" s="794"/>
      <c r="I70" s="1385"/>
      <c r="J70" s="1320" t="s">
        <v>348</v>
      </c>
      <c r="K70" s="1321"/>
      <c r="L70" s="1321"/>
      <c r="M70" s="1322"/>
      <c r="N70" s="1403">
        <f>IF(ISERROR(S70*(360/V70)*(Y70/8)),0,ROUNDUP(S70*(360/V70)*(Y70/8),0))</f>
        <v>0</v>
      </c>
      <c r="O70" s="1404"/>
      <c r="P70" t="s">
        <v>349</v>
      </c>
      <c r="R70" t="s">
        <v>184</v>
      </c>
      <c r="S70" s="588">
        <v>0</v>
      </c>
      <c r="T70" t="s">
        <v>187</v>
      </c>
      <c r="V70" s="588">
        <v>0</v>
      </c>
      <c r="W70" t="s">
        <v>189</v>
      </c>
      <c r="Y70" s="588">
        <v>0</v>
      </c>
      <c r="Z70" t="s">
        <v>190</v>
      </c>
      <c r="AD70" t="s">
        <v>191</v>
      </c>
    </row>
    <row r="71" spans="2:43" ht="19.5" customHeight="1" thickTop="1" thickBot="1">
      <c r="B71" s="793" t="s">
        <v>365</v>
      </c>
      <c r="C71" s="794"/>
      <c r="D71" s="794"/>
      <c r="E71" s="794"/>
      <c r="F71" s="794"/>
      <c r="G71" s="794"/>
      <c r="H71" s="794"/>
      <c r="I71" s="1385"/>
      <c r="J71" s="1320" t="s">
        <v>348</v>
      </c>
      <c r="K71" s="1321"/>
      <c r="L71" s="1321"/>
      <c r="M71" s="1322"/>
      <c r="N71" s="1403">
        <f>IF(ISERROR(S71*(360/V71)*(Y71/8)),0,ROUNDUP(S71*(360/V71)*(Y71/8),0))</f>
        <v>0</v>
      </c>
      <c r="O71" s="1404"/>
      <c r="P71" t="s">
        <v>349</v>
      </c>
      <c r="R71" t="s">
        <v>184</v>
      </c>
      <c r="S71" s="588">
        <v>0</v>
      </c>
      <c r="T71" t="s">
        <v>187</v>
      </c>
      <c r="V71" s="588">
        <v>30</v>
      </c>
      <c r="W71" t="s">
        <v>189</v>
      </c>
      <c r="Y71" s="588">
        <v>1</v>
      </c>
      <c r="Z71" t="s">
        <v>190</v>
      </c>
      <c r="AD71" t="s">
        <v>192</v>
      </c>
    </row>
    <row r="72" spans="2:43" ht="8.1" customHeight="1" thickBot="1">
      <c r="V72" s="82"/>
    </row>
    <row r="73" spans="2:43" ht="24" customHeight="1" thickBot="1">
      <c r="B73" s="1353" t="s">
        <v>635</v>
      </c>
      <c r="C73" s="1354"/>
      <c r="D73" s="1354"/>
      <c r="E73" s="1354"/>
      <c r="F73" s="1354"/>
      <c r="G73" s="1354"/>
      <c r="H73" s="1354"/>
      <c r="I73" s="1354"/>
      <c r="J73" s="1354"/>
      <c r="K73" s="1354"/>
      <c r="L73" s="1354"/>
      <c r="M73" s="1354"/>
      <c r="N73" s="1354"/>
      <c r="O73" s="1354"/>
      <c r="P73" s="1354"/>
      <c r="Q73" s="1354"/>
      <c r="R73" s="1354"/>
      <c r="S73" s="1354"/>
      <c r="T73" s="1354"/>
      <c r="U73" s="1354"/>
      <c r="V73" s="1354"/>
      <c r="W73" s="1354"/>
      <c r="X73" s="1354"/>
      <c r="Y73" s="1354"/>
      <c r="Z73" s="1354"/>
      <c r="AA73" s="1354"/>
      <c r="AB73" s="1354"/>
      <c r="AC73" s="1355"/>
    </row>
    <row r="74" spans="2:43" ht="24" customHeight="1" thickTop="1" thickBot="1">
      <c r="B74" s="375" t="s">
        <v>114</v>
      </c>
      <c r="AK74" s="536">
        <v>1</v>
      </c>
      <c r="AL74" t="s">
        <v>227</v>
      </c>
    </row>
    <row r="75" spans="2:43" ht="7.5" customHeight="1" thickTop="1" thickBot="1"/>
    <row r="76" spans="2:43" ht="19.5" customHeight="1" thickTop="1" thickBot="1">
      <c r="B76" s="1331" t="s">
        <v>636</v>
      </c>
      <c r="C76" s="1331"/>
      <c r="D76" s="1331"/>
      <c r="E76" s="1331"/>
      <c r="F76" s="1331"/>
      <c r="G76" s="1331"/>
      <c r="H76" s="1331"/>
      <c r="I76" s="1331" t="s">
        <v>637</v>
      </c>
      <c r="J76" s="1331"/>
      <c r="K76" s="1331"/>
      <c r="L76" s="1331"/>
      <c r="M76" s="1331"/>
      <c r="N76" s="1331"/>
      <c r="O76" s="1331"/>
      <c r="P76" s="1331"/>
      <c r="Q76" s="1335" t="s">
        <v>628</v>
      </c>
      <c r="R76" s="1335"/>
      <c r="S76" s="1335"/>
      <c r="T76" s="1335"/>
      <c r="U76" s="1335"/>
      <c r="V76" s="1335"/>
      <c r="W76" s="1327">
        <v>0</v>
      </c>
      <c r="X76" s="1328"/>
      <c r="Y76" s="1328"/>
      <c r="Z76" s="1328"/>
      <c r="AA76" s="1328"/>
      <c r="AB76" s="1328"/>
      <c r="AC76" s="1329"/>
    </row>
    <row r="77" spans="2:43" ht="19.5" customHeight="1" thickTop="1" thickBot="1">
      <c r="B77" s="1332"/>
      <c r="C77" s="1332"/>
      <c r="D77" s="1332"/>
      <c r="E77" s="1332"/>
      <c r="F77" s="1332"/>
      <c r="G77" s="1332"/>
      <c r="H77" s="1332"/>
      <c r="I77" s="1332"/>
      <c r="J77" s="1332"/>
      <c r="K77" s="1332"/>
      <c r="L77" s="1332"/>
      <c r="M77" s="1332"/>
      <c r="N77" s="1332"/>
      <c r="O77" s="1332"/>
      <c r="P77" s="1332"/>
      <c r="Q77" s="1340" t="s">
        <v>639</v>
      </c>
      <c r="R77" s="1340"/>
      <c r="S77" s="1340"/>
      <c r="T77" s="1340"/>
      <c r="U77" s="1340"/>
      <c r="V77" s="1340"/>
      <c r="W77" s="1327">
        <v>0</v>
      </c>
      <c r="X77" s="1328"/>
      <c r="Y77" s="1328"/>
      <c r="Z77" s="1328"/>
      <c r="AA77" s="1328"/>
      <c r="AB77" s="1328"/>
      <c r="AC77" s="1329"/>
    </row>
    <row r="78" spans="2:43" ht="19.5" customHeight="1" thickTop="1" thickBot="1">
      <c r="B78" s="1332"/>
      <c r="C78" s="1332"/>
      <c r="D78" s="1332"/>
      <c r="E78" s="1332"/>
      <c r="F78" s="1332"/>
      <c r="G78" s="1332"/>
      <c r="H78" s="1332"/>
      <c r="I78" s="1332"/>
      <c r="J78" s="1332"/>
      <c r="K78" s="1332"/>
      <c r="L78" s="1332"/>
      <c r="M78" s="1332"/>
      <c r="N78" s="1332"/>
      <c r="O78" s="1332"/>
      <c r="P78" s="1332"/>
      <c r="Q78" s="1340" t="s">
        <v>629</v>
      </c>
      <c r="R78" s="1340"/>
      <c r="S78" s="1340"/>
      <c r="T78" s="1340"/>
      <c r="U78" s="1340"/>
      <c r="V78" s="1340"/>
      <c r="W78" s="1330">
        <f>AK78*12</f>
        <v>0</v>
      </c>
      <c r="X78" s="1330"/>
      <c r="Y78" s="1330"/>
      <c r="Z78" s="1330"/>
      <c r="AA78" s="1330"/>
      <c r="AB78" s="1330"/>
      <c r="AC78" s="1330"/>
      <c r="AE78" s="1433" t="s">
        <v>601</v>
      </c>
      <c r="AF78" s="1340"/>
      <c r="AG78" s="1340"/>
      <c r="AH78" s="1340"/>
      <c r="AI78" s="1340"/>
      <c r="AJ78" s="1340"/>
      <c r="AK78" s="1327">
        <v>0</v>
      </c>
      <c r="AL78" s="1328"/>
      <c r="AM78" s="1328"/>
      <c r="AN78" s="1328"/>
      <c r="AO78" s="1328"/>
      <c r="AP78" s="1328"/>
      <c r="AQ78" s="1329"/>
    </row>
    <row r="79" spans="2:43" ht="19.5" customHeight="1" thickTop="1" thickBot="1">
      <c r="B79" s="1332"/>
      <c r="C79" s="1332"/>
      <c r="D79" s="1332"/>
      <c r="E79" s="1332"/>
      <c r="F79" s="1332"/>
      <c r="G79" s="1332"/>
      <c r="H79" s="1332"/>
      <c r="I79" s="1332" t="s">
        <v>638</v>
      </c>
      <c r="J79" s="1332"/>
      <c r="K79" s="1332"/>
      <c r="L79" s="1332"/>
      <c r="M79" s="1332"/>
      <c r="N79" s="1332"/>
      <c r="O79" s="1332"/>
      <c r="P79" s="1332"/>
      <c r="Q79" s="1340" t="s">
        <v>628</v>
      </c>
      <c r="R79" s="1340"/>
      <c r="S79" s="1340"/>
      <c r="T79" s="1340"/>
      <c r="U79" s="1340"/>
      <c r="V79" s="1340"/>
      <c r="W79" s="1327">
        <v>0</v>
      </c>
      <c r="X79" s="1328"/>
      <c r="Y79" s="1328"/>
      <c r="Z79" s="1328"/>
      <c r="AA79" s="1328"/>
      <c r="AB79" s="1328"/>
      <c r="AC79" s="1329"/>
      <c r="AK79" s="82"/>
      <c r="AL79" s="82"/>
      <c r="AM79" s="82"/>
      <c r="AN79" s="82"/>
      <c r="AO79" s="82"/>
      <c r="AP79" s="82"/>
      <c r="AQ79" s="82"/>
    </row>
    <row r="80" spans="2:43" ht="19.5" customHeight="1" thickTop="1" thickBot="1">
      <c r="B80" s="1332"/>
      <c r="C80" s="1332"/>
      <c r="D80" s="1332"/>
      <c r="E80" s="1332"/>
      <c r="F80" s="1332"/>
      <c r="G80" s="1332"/>
      <c r="H80" s="1332"/>
      <c r="I80" s="1332"/>
      <c r="J80" s="1332"/>
      <c r="K80" s="1332"/>
      <c r="L80" s="1332"/>
      <c r="M80" s="1332"/>
      <c r="N80" s="1332"/>
      <c r="O80" s="1332"/>
      <c r="P80" s="1332"/>
      <c r="Q80" s="1340" t="s">
        <v>639</v>
      </c>
      <c r="R80" s="1340"/>
      <c r="S80" s="1340"/>
      <c r="T80" s="1340"/>
      <c r="U80" s="1340"/>
      <c r="V80" s="1340"/>
      <c r="W80" s="1327">
        <v>0</v>
      </c>
      <c r="X80" s="1328"/>
      <c r="Y80" s="1328"/>
      <c r="Z80" s="1328"/>
      <c r="AA80" s="1328"/>
      <c r="AB80" s="1328"/>
      <c r="AC80" s="1329"/>
      <c r="AK80" s="82"/>
      <c r="AL80" s="82"/>
      <c r="AM80" s="82"/>
      <c r="AN80" s="82"/>
      <c r="AO80" s="82"/>
      <c r="AP80" s="82"/>
      <c r="AQ80" s="82"/>
    </row>
    <row r="81" spans="2:43" ht="19.5" customHeight="1" thickTop="1" thickBot="1">
      <c r="B81" s="1333"/>
      <c r="C81" s="1333"/>
      <c r="D81" s="1333"/>
      <c r="E81" s="1333"/>
      <c r="F81" s="1333"/>
      <c r="G81" s="1333"/>
      <c r="H81" s="1333"/>
      <c r="I81" s="1333"/>
      <c r="J81" s="1333"/>
      <c r="K81" s="1333"/>
      <c r="L81" s="1333"/>
      <c r="M81" s="1333"/>
      <c r="N81" s="1333"/>
      <c r="O81" s="1333"/>
      <c r="P81" s="1333"/>
      <c r="Q81" s="1341" t="s">
        <v>629</v>
      </c>
      <c r="R81" s="1341"/>
      <c r="S81" s="1341"/>
      <c r="T81" s="1341"/>
      <c r="U81" s="1341"/>
      <c r="V81" s="1341"/>
      <c r="W81" s="1345">
        <f>AK81*12</f>
        <v>0</v>
      </c>
      <c r="X81" s="1345"/>
      <c r="Y81" s="1345"/>
      <c r="Z81" s="1345"/>
      <c r="AA81" s="1345"/>
      <c r="AB81" s="1345"/>
      <c r="AC81" s="1345"/>
      <c r="AE81" s="1433" t="s">
        <v>601</v>
      </c>
      <c r="AF81" s="1340"/>
      <c r="AG81" s="1340"/>
      <c r="AH81" s="1340"/>
      <c r="AI81" s="1340"/>
      <c r="AJ81" s="1340"/>
      <c r="AK81" s="1327">
        <v>0</v>
      </c>
      <c r="AL81" s="1328"/>
      <c r="AM81" s="1328"/>
      <c r="AN81" s="1328"/>
      <c r="AO81" s="1328"/>
      <c r="AP81" s="1328"/>
      <c r="AQ81" s="1329"/>
    </row>
    <row r="82" spans="2:43" ht="19.5" customHeight="1" thickTop="1" thickBot="1">
      <c r="B82" s="1331" t="s">
        <v>625</v>
      </c>
      <c r="C82" s="1331"/>
      <c r="D82" s="1331"/>
      <c r="E82" s="1331"/>
      <c r="F82" s="1331"/>
      <c r="G82" s="1331"/>
      <c r="H82" s="1331"/>
      <c r="I82" s="1331" t="s">
        <v>626</v>
      </c>
      <c r="J82" s="1331"/>
      <c r="K82" s="1331"/>
      <c r="L82" s="1331"/>
      <c r="M82" s="1331"/>
      <c r="N82" s="1331"/>
      <c r="O82" s="1331"/>
      <c r="P82" s="1331"/>
      <c r="Q82" s="1335" t="s">
        <v>628</v>
      </c>
      <c r="R82" s="1335"/>
      <c r="S82" s="1335"/>
      <c r="T82" s="1335"/>
      <c r="U82" s="1335"/>
      <c r="V82" s="1335"/>
      <c r="W82" s="1327">
        <v>0</v>
      </c>
      <c r="X82" s="1328"/>
      <c r="Y82" s="1328"/>
      <c r="Z82" s="1328"/>
      <c r="AA82" s="1328"/>
      <c r="AB82" s="1328"/>
      <c r="AC82" s="1329"/>
      <c r="AK82" s="82"/>
      <c r="AL82" s="82"/>
      <c r="AM82" s="82"/>
      <c r="AN82" s="82"/>
      <c r="AO82" s="82"/>
      <c r="AP82" s="82"/>
      <c r="AQ82" s="82"/>
    </row>
    <row r="83" spans="2:43" ht="19.5" customHeight="1" thickTop="1" thickBot="1">
      <c r="B83" s="1332"/>
      <c r="C83" s="1332"/>
      <c r="D83" s="1332"/>
      <c r="E83" s="1332"/>
      <c r="F83" s="1332"/>
      <c r="G83" s="1332"/>
      <c r="H83" s="1332"/>
      <c r="I83" s="1332"/>
      <c r="J83" s="1332"/>
      <c r="K83" s="1332"/>
      <c r="L83" s="1332"/>
      <c r="M83" s="1332"/>
      <c r="N83" s="1332"/>
      <c r="O83" s="1332"/>
      <c r="P83" s="1332"/>
      <c r="Q83" s="1340" t="s">
        <v>629</v>
      </c>
      <c r="R83" s="1340"/>
      <c r="S83" s="1340"/>
      <c r="T83" s="1340"/>
      <c r="U83" s="1340"/>
      <c r="V83" s="1340"/>
      <c r="W83" s="1330">
        <f>W82*0.1</f>
        <v>0</v>
      </c>
      <c r="X83" s="1330"/>
      <c r="Y83" s="1330"/>
      <c r="Z83" s="1330"/>
      <c r="AA83" s="1330"/>
      <c r="AB83" s="1330"/>
      <c r="AC83" s="1330"/>
      <c r="AK83" s="82"/>
      <c r="AL83" s="82"/>
      <c r="AM83" s="82"/>
      <c r="AN83" s="82"/>
      <c r="AO83" s="82"/>
      <c r="AP83" s="82"/>
      <c r="AQ83" s="82"/>
    </row>
    <row r="84" spans="2:43" ht="19.5" customHeight="1" thickTop="1" thickBot="1">
      <c r="B84" s="1332"/>
      <c r="C84" s="1332"/>
      <c r="D84" s="1332"/>
      <c r="E84" s="1332"/>
      <c r="F84" s="1332"/>
      <c r="G84" s="1332"/>
      <c r="H84" s="1332"/>
      <c r="I84" s="1332" t="s">
        <v>627</v>
      </c>
      <c r="J84" s="1332"/>
      <c r="K84" s="1332"/>
      <c r="L84" s="1332"/>
      <c r="M84" s="1332"/>
      <c r="N84" s="1332"/>
      <c r="O84" s="1332"/>
      <c r="P84" s="1332"/>
      <c r="Q84" s="1340" t="s">
        <v>628</v>
      </c>
      <c r="R84" s="1340"/>
      <c r="S84" s="1340"/>
      <c r="T84" s="1340"/>
      <c r="U84" s="1340"/>
      <c r="V84" s="1340"/>
      <c r="W84" s="1327">
        <v>0</v>
      </c>
      <c r="X84" s="1328"/>
      <c r="Y84" s="1328"/>
      <c r="Z84" s="1328"/>
      <c r="AA84" s="1328"/>
      <c r="AB84" s="1328"/>
      <c r="AC84" s="1329"/>
      <c r="AK84" s="82"/>
      <c r="AL84" s="82"/>
      <c r="AM84" s="82"/>
      <c r="AN84" s="82"/>
      <c r="AO84" s="82"/>
      <c r="AP84" s="82"/>
      <c r="AQ84" s="82"/>
    </row>
    <row r="85" spans="2:43" ht="19.5" customHeight="1" thickTop="1" thickBot="1">
      <c r="B85" s="1333"/>
      <c r="C85" s="1333"/>
      <c r="D85" s="1333"/>
      <c r="E85" s="1333"/>
      <c r="F85" s="1333"/>
      <c r="G85" s="1333"/>
      <c r="H85" s="1333"/>
      <c r="I85" s="1333"/>
      <c r="J85" s="1333"/>
      <c r="K85" s="1333"/>
      <c r="L85" s="1333"/>
      <c r="M85" s="1333"/>
      <c r="N85" s="1333"/>
      <c r="O85" s="1333"/>
      <c r="P85" s="1333"/>
      <c r="Q85" s="1341" t="s">
        <v>629</v>
      </c>
      <c r="R85" s="1341"/>
      <c r="S85" s="1341"/>
      <c r="T85" s="1341"/>
      <c r="U85" s="1341"/>
      <c r="V85" s="1341"/>
      <c r="W85" s="1330">
        <f>W84*0.1</f>
        <v>0</v>
      </c>
      <c r="X85" s="1330"/>
      <c r="Y85" s="1330"/>
      <c r="Z85" s="1330"/>
      <c r="AA85" s="1330"/>
      <c r="AB85" s="1330"/>
      <c r="AC85" s="1330"/>
      <c r="AK85" s="82"/>
      <c r="AL85" s="82"/>
      <c r="AM85" s="82"/>
      <c r="AN85" s="82"/>
      <c r="AO85" s="82"/>
      <c r="AP85" s="82"/>
      <c r="AQ85" s="82"/>
    </row>
    <row r="86" spans="2:43" ht="19.5" customHeight="1">
      <c r="B86" s="1331" t="s">
        <v>630</v>
      </c>
      <c r="C86" s="1331"/>
      <c r="D86" s="1331"/>
      <c r="E86" s="1331"/>
      <c r="F86" s="1331"/>
      <c r="G86" s="1331"/>
      <c r="H86" s="1331"/>
      <c r="I86" s="1334" t="s">
        <v>282</v>
      </c>
      <c r="J86" s="1331"/>
      <c r="K86" s="1331"/>
      <c r="L86" s="1331"/>
      <c r="M86" s="1331"/>
      <c r="N86" s="1331"/>
      <c r="O86" s="1331"/>
      <c r="P86" s="1331"/>
      <c r="Q86" s="1335" t="s">
        <v>628</v>
      </c>
      <c r="R86" s="1335"/>
      <c r="S86" s="1335"/>
      <c r="T86" s="1335"/>
      <c r="U86" s="1335"/>
      <c r="V86" s="1335"/>
      <c r="W86" s="1336">
        <f>AK87*10</f>
        <v>30000</v>
      </c>
      <c r="X86" s="1336"/>
      <c r="Y86" s="1336"/>
      <c r="Z86" s="1336"/>
      <c r="AA86" s="1336"/>
      <c r="AB86" s="1336"/>
      <c r="AC86" s="1336"/>
      <c r="AK86" s="82"/>
      <c r="AL86" s="82"/>
      <c r="AM86" s="82"/>
      <c r="AN86" s="82"/>
      <c r="AO86" s="82"/>
      <c r="AP86" s="82"/>
      <c r="AQ86" s="82"/>
    </row>
    <row r="87" spans="2:43" ht="19.5" customHeight="1">
      <c r="B87" s="1332"/>
      <c r="C87" s="1332"/>
      <c r="D87" s="1332"/>
      <c r="E87" s="1332"/>
      <c r="F87" s="1332"/>
      <c r="G87" s="1332"/>
      <c r="H87" s="1332"/>
      <c r="I87" s="1332"/>
      <c r="J87" s="1332"/>
      <c r="K87" s="1332"/>
      <c r="L87" s="1332"/>
      <c r="M87" s="1332"/>
      <c r="N87" s="1332"/>
      <c r="O87" s="1332"/>
      <c r="P87" s="1332"/>
      <c r="Q87" s="1340" t="s">
        <v>629</v>
      </c>
      <c r="R87" s="1340"/>
      <c r="S87" s="1340"/>
      <c r="T87" s="1340"/>
      <c r="U87" s="1340"/>
      <c r="V87" s="1340"/>
      <c r="W87" s="1330">
        <f>AK87*12</f>
        <v>36000</v>
      </c>
      <c r="X87" s="1330"/>
      <c r="Y87" s="1330"/>
      <c r="Z87" s="1330"/>
      <c r="AA87" s="1330"/>
      <c r="AB87" s="1330"/>
      <c r="AC87" s="1330"/>
      <c r="AE87" s="1433" t="s">
        <v>601</v>
      </c>
      <c r="AF87" s="1340"/>
      <c r="AG87" s="1340"/>
      <c r="AH87" s="1340"/>
      <c r="AI87" s="1340"/>
      <c r="AJ87" s="1340"/>
      <c r="AK87" s="1342">
        <f>3000*AK74</f>
        <v>3000</v>
      </c>
      <c r="AL87" s="1343"/>
      <c r="AM87" s="1343"/>
      <c r="AN87" s="1343"/>
      <c r="AO87" s="1343"/>
      <c r="AP87" s="1343"/>
      <c r="AQ87" s="1438"/>
    </row>
    <row r="88" spans="2:43" ht="19.5" customHeight="1">
      <c r="B88" s="1332"/>
      <c r="C88" s="1332"/>
      <c r="D88" s="1332"/>
      <c r="E88" s="1332"/>
      <c r="F88" s="1332"/>
      <c r="G88" s="1332"/>
      <c r="H88" s="1332"/>
      <c r="I88" s="1360" t="s">
        <v>284</v>
      </c>
      <c r="J88" s="1332"/>
      <c r="K88" s="1332"/>
      <c r="L88" s="1332"/>
      <c r="M88" s="1332"/>
      <c r="N88" s="1332"/>
      <c r="O88" s="1332"/>
      <c r="P88" s="1332"/>
      <c r="Q88" s="1340" t="s">
        <v>628</v>
      </c>
      <c r="R88" s="1340"/>
      <c r="S88" s="1340"/>
      <c r="T88" s="1340"/>
      <c r="U88" s="1340"/>
      <c r="V88" s="1340"/>
      <c r="W88" s="1361">
        <f>AK89*10</f>
        <v>30000</v>
      </c>
      <c r="X88" s="1361"/>
      <c r="Y88" s="1361"/>
      <c r="Z88" s="1361"/>
      <c r="AA88" s="1361"/>
      <c r="AB88" s="1361"/>
      <c r="AC88" s="1361"/>
      <c r="AK88" s="82"/>
      <c r="AL88" s="82"/>
      <c r="AM88" s="82"/>
      <c r="AN88" s="82"/>
      <c r="AO88" s="82"/>
      <c r="AP88" s="82"/>
      <c r="AQ88" s="82"/>
    </row>
    <row r="89" spans="2:43" ht="19.5" customHeight="1">
      <c r="B89" s="1332"/>
      <c r="C89" s="1332"/>
      <c r="D89" s="1332"/>
      <c r="E89" s="1332"/>
      <c r="F89" s="1332"/>
      <c r="G89" s="1332"/>
      <c r="H89" s="1332"/>
      <c r="I89" s="1332"/>
      <c r="J89" s="1332"/>
      <c r="K89" s="1332"/>
      <c r="L89" s="1332"/>
      <c r="M89" s="1332"/>
      <c r="N89" s="1332"/>
      <c r="O89" s="1332"/>
      <c r="P89" s="1332"/>
      <c r="Q89" s="1340" t="s">
        <v>629</v>
      </c>
      <c r="R89" s="1340"/>
      <c r="S89" s="1340"/>
      <c r="T89" s="1340"/>
      <c r="U89" s="1340"/>
      <c r="V89" s="1340"/>
      <c r="W89" s="1330">
        <f>AK89*12</f>
        <v>36000</v>
      </c>
      <c r="X89" s="1330"/>
      <c r="Y89" s="1330"/>
      <c r="Z89" s="1330"/>
      <c r="AA89" s="1330"/>
      <c r="AB89" s="1330"/>
      <c r="AC89" s="1330"/>
      <c r="AE89" s="1433" t="s">
        <v>601</v>
      </c>
      <c r="AF89" s="1340"/>
      <c r="AG89" s="1340"/>
      <c r="AH89" s="1340"/>
      <c r="AI89" s="1340"/>
      <c r="AJ89" s="1340"/>
      <c r="AK89" s="1342">
        <f>3000*AK74</f>
        <v>3000</v>
      </c>
      <c r="AL89" s="1343"/>
      <c r="AM89" s="1343"/>
      <c r="AN89" s="1343"/>
      <c r="AO89" s="1343"/>
      <c r="AP89" s="1343"/>
      <c r="AQ89" s="1438"/>
    </row>
    <row r="90" spans="2:43" ht="19.5" customHeight="1" thickBot="1">
      <c r="B90" s="1332"/>
      <c r="C90" s="1332"/>
      <c r="D90" s="1332"/>
      <c r="E90" s="1332"/>
      <c r="F90" s="1332"/>
      <c r="G90" s="1332"/>
      <c r="H90" s="1332"/>
      <c r="I90" s="1332" t="s">
        <v>631</v>
      </c>
      <c r="J90" s="1332"/>
      <c r="K90" s="1332"/>
      <c r="L90" s="1332"/>
      <c r="M90" s="1332"/>
      <c r="N90" s="1332"/>
      <c r="O90" s="1332"/>
      <c r="P90" s="1332"/>
      <c r="Q90" s="1340" t="s">
        <v>628</v>
      </c>
      <c r="R90" s="1340"/>
      <c r="S90" s="1340"/>
      <c r="T90" s="1340"/>
      <c r="U90" s="1340"/>
      <c r="V90" s="1340"/>
      <c r="W90" s="1361">
        <f>AK91*10</f>
        <v>0</v>
      </c>
      <c r="X90" s="1361"/>
      <c r="Y90" s="1361"/>
      <c r="Z90" s="1361"/>
      <c r="AA90" s="1361"/>
      <c r="AB90" s="1361"/>
      <c r="AC90" s="1361"/>
      <c r="AK90" s="82"/>
      <c r="AL90" s="82"/>
      <c r="AM90" s="82"/>
      <c r="AN90" s="82"/>
      <c r="AO90" s="82"/>
      <c r="AP90" s="82"/>
      <c r="AQ90" s="82"/>
    </row>
    <row r="91" spans="2:43" ht="19.5" customHeight="1" thickTop="1" thickBot="1">
      <c r="B91" s="1333"/>
      <c r="C91" s="1333"/>
      <c r="D91" s="1333"/>
      <c r="E91" s="1333"/>
      <c r="F91" s="1333"/>
      <c r="G91" s="1333"/>
      <c r="H91" s="1333"/>
      <c r="I91" s="1333"/>
      <c r="J91" s="1333"/>
      <c r="K91" s="1333"/>
      <c r="L91" s="1333"/>
      <c r="M91" s="1333"/>
      <c r="N91" s="1333"/>
      <c r="O91" s="1333"/>
      <c r="P91" s="1333"/>
      <c r="Q91" s="1341" t="s">
        <v>629</v>
      </c>
      <c r="R91" s="1341"/>
      <c r="S91" s="1341"/>
      <c r="T91" s="1341"/>
      <c r="U91" s="1341"/>
      <c r="V91" s="1341"/>
      <c r="W91" s="1330">
        <f>AK91*12</f>
        <v>0</v>
      </c>
      <c r="X91" s="1330"/>
      <c r="Y91" s="1330"/>
      <c r="Z91" s="1330"/>
      <c r="AA91" s="1330"/>
      <c r="AB91" s="1330"/>
      <c r="AC91" s="1330"/>
      <c r="AE91" s="1433" t="s">
        <v>601</v>
      </c>
      <c r="AF91" s="1340"/>
      <c r="AG91" s="1340"/>
      <c r="AH91" s="1340"/>
      <c r="AI91" s="1340"/>
      <c r="AJ91" s="1340"/>
      <c r="AK91" s="1327">
        <v>0</v>
      </c>
      <c r="AL91" s="1328"/>
      <c r="AM91" s="1328"/>
      <c r="AN91" s="1328"/>
      <c r="AO91" s="1328"/>
      <c r="AP91" s="1328"/>
      <c r="AQ91" s="1329"/>
    </row>
    <row r="92" spans="2:43" ht="19.5" customHeight="1">
      <c r="B92" s="1377" t="s">
        <v>633</v>
      </c>
      <c r="C92" s="1378"/>
      <c r="D92" s="1378"/>
      <c r="E92" s="1378"/>
      <c r="F92" s="1378"/>
      <c r="G92" s="1378"/>
      <c r="H92" s="1379"/>
      <c r="I92" s="1377"/>
      <c r="J92" s="1378"/>
      <c r="K92" s="1378"/>
      <c r="L92" s="1378"/>
      <c r="M92" s="1378"/>
      <c r="N92" s="1378"/>
      <c r="O92" s="1378"/>
      <c r="P92" s="1379"/>
      <c r="Q92" s="1335" t="s">
        <v>634</v>
      </c>
      <c r="R92" s="1335"/>
      <c r="S92" s="1335"/>
      <c r="T92" s="1335"/>
      <c r="U92" s="1335"/>
      <c r="V92" s="1335"/>
      <c r="W92" s="1428" t="s">
        <v>570</v>
      </c>
      <c r="X92" s="1428"/>
      <c r="Y92" s="1428"/>
      <c r="Z92" s="1428"/>
      <c r="AA92" s="1428"/>
      <c r="AB92" s="1428"/>
      <c r="AC92" s="1428"/>
      <c r="AK92" s="82"/>
      <c r="AL92" s="82"/>
      <c r="AM92" s="82"/>
      <c r="AN92" s="82"/>
      <c r="AO92" s="82"/>
      <c r="AP92" s="82"/>
      <c r="AQ92" s="82"/>
    </row>
    <row r="93" spans="2:43" ht="19.5" customHeight="1">
      <c r="B93" s="1406"/>
      <c r="C93" s="1407"/>
      <c r="D93" s="1407"/>
      <c r="E93" s="1407"/>
      <c r="F93" s="1407"/>
      <c r="G93" s="1407"/>
      <c r="H93" s="1408"/>
      <c r="I93" s="1406"/>
      <c r="J93" s="1407"/>
      <c r="K93" s="1407"/>
      <c r="L93" s="1407"/>
      <c r="M93" s="1407"/>
      <c r="N93" s="1407"/>
      <c r="O93" s="1407"/>
      <c r="P93" s="1408"/>
      <c r="Q93" s="1340" t="s">
        <v>628</v>
      </c>
      <c r="R93" s="1340"/>
      <c r="S93" s="1340"/>
      <c r="T93" s="1340"/>
      <c r="U93" s="1340"/>
      <c r="V93" s="1340"/>
      <c r="W93" s="1422">
        <v>0</v>
      </c>
      <c r="X93" s="1423"/>
      <c r="Y93" s="1423"/>
      <c r="Z93" s="1423"/>
      <c r="AA93" s="1423"/>
      <c r="AB93" s="1423"/>
      <c r="AC93" s="1424"/>
      <c r="AD93" t="s">
        <v>641</v>
      </c>
      <c r="AK93" s="82"/>
      <c r="AL93" s="82"/>
      <c r="AM93" s="82"/>
      <c r="AN93" s="82"/>
      <c r="AO93" s="82"/>
      <c r="AP93" s="82"/>
      <c r="AQ93" s="82"/>
    </row>
    <row r="94" spans="2:43" ht="19.5" customHeight="1" thickBot="1">
      <c r="B94" s="1380"/>
      <c r="C94" s="1381"/>
      <c r="D94" s="1381"/>
      <c r="E94" s="1381"/>
      <c r="F94" s="1381"/>
      <c r="G94" s="1381"/>
      <c r="H94" s="1382"/>
      <c r="I94" s="1380"/>
      <c r="J94" s="1381"/>
      <c r="K94" s="1381"/>
      <c r="L94" s="1381"/>
      <c r="M94" s="1381"/>
      <c r="N94" s="1381"/>
      <c r="O94" s="1381"/>
      <c r="P94" s="1382"/>
      <c r="Q94" s="1341" t="s">
        <v>629</v>
      </c>
      <c r="R94" s="1341"/>
      <c r="S94" s="1341"/>
      <c r="T94" s="1341"/>
      <c r="U94" s="1341"/>
      <c r="V94" s="1341"/>
      <c r="W94" s="1425">
        <f>W93*0.1</f>
        <v>0</v>
      </c>
      <c r="X94" s="1426"/>
      <c r="Y94" s="1426"/>
      <c r="Z94" s="1426"/>
      <c r="AA94" s="1426"/>
      <c r="AB94" s="1426"/>
      <c r="AC94" s="1427"/>
      <c r="AK94" s="82"/>
      <c r="AL94" s="82"/>
      <c r="AM94" s="82"/>
      <c r="AN94" s="82"/>
      <c r="AO94" s="82"/>
      <c r="AP94" s="82"/>
      <c r="AQ94" s="82"/>
    </row>
    <row r="95" spans="2:43" ht="19.5" customHeight="1" thickTop="1" thickBot="1">
      <c r="B95" s="1373" t="s">
        <v>342</v>
      </c>
      <c r="C95" s="1373"/>
      <c r="D95" s="1373"/>
      <c r="E95" s="1373"/>
      <c r="F95" s="1373"/>
      <c r="G95" s="1373"/>
      <c r="H95" s="1373"/>
      <c r="I95" s="1373"/>
      <c r="J95" s="1373"/>
      <c r="K95" s="1373"/>
      <c r="L95" s="1373"/>
      <c r="M95" s="1373"/>
      <c r="N95" s="1373"/>
      <c r="O95" s="1373"/>
      <c r="P95" s="1373"/>
      <c r="Q95" s="1335" t="s">
        <v>628</v>
      </c>
      <c r="R95" s="1335"/>
      <c r="S95" s="1335"/>
      <c r="T95" s="1335"/>
      <c r="U95" s="1335"/>
      <c r="V95" s="1335"/>
      <c r="W95" s="1327">
        <v>0</v>
      </c>
      <c r="X95" s="1328"/>
      <c r="Y95" s="1328"/>
      <c r="Z95" s="1328"/>
      <c r="AA95" s="1328"/>
      <c r="AB95" s="1328"/>
      <c r="AC95" s="1329"/>
      <c r="AD95" t="s">
        <v>343</v>
      </c>
      <c r="AK95" s="82"/>
      <c r="AL95" s="82"/>
      <c r="AM95" s="82"/>
      <c r="AN95" s="82"/>
      <c r="AO95" s="82"/>
      <c r="AP95" s="82"/>
      <c r="AQ95" s="82"/>
    </row>
    <row r="96" spans="2:43" ht="19.5" customHeight="1" thickTop="1" thickBot="1">
      <c r="B96" s="1373"/>
      <c r="C96" s="1373"/>
      <c r="D96" s="1373"/>
      <c r="E96" s="1373"/>
      <c r="F96" s="1373"/>
      <c r="G96" s="1373"/>
      <c r="H96" s="1373"/>
      <c r="I96" s="1373"/>
      <c r="J96" s="1373"/>
      <c r="K96" s="1373"/>
      <c r="L96" s="1373"/>
      <c r="M96" s="1373"/>
      <c r="N96" s="1373"/>
      <c r="O96" s="1373"/>
      <c r="P96" s="1373"/>
      <c r="Q96" s="1341" t="s">
        <v>629</v>
      </c>
      <c r="R96" s="1341"/>
      <c r="S96" s="1341"/>
      <c r="T96" s="1341"/>
      <c r="U96" s="1341"/>
      <c r="V96" s="1341"/>
      <c r="W96" s="1327">
        <v>0</v>
      </c>
      <c r="X96" s="1328"/>
      <c r="Y96" s="1328"/>
      <c r="Z96" s="1328"/>
      <c r="AA96" s="1328"/>
      <c r="AB96" s="1328"/>
      <c r="AC96" s="1329"/>
      <c r="AD96" t="s">
        <v>343</v>
      </c>
      <c r="AK96" s="82"/>
      <c r="AL96" s="82"/>
      <c r="AM96" s="82"/>
      <c r="AN96" s="82"/>
      <c r="AO96" s="82"/>
      <c r="AP96" s="82"/>
      <c r="AQ96" s="82"/>
    </row>
    <row r="97" spans="2:43" ht="19.5" customHeight="1">
      <c r="B97" s="1386" t="s">
        <v>590</v>
      </c>
      <c r="C97" s="1387"/>
      <c r="D97" s="1387"/>
      <c r="E97" s="1387"/>
      <c r="F97" s="1387"/>
      <c r="G97" s="1387"/>
      <c r="H97" s="1387"/>
      <c r="I97" s="1387"/>
      <c r="J97" s="1387"/>
      <c r="K97" s="1387"/>
      <c r="L97" s="1387"/>
      <c r="M97" s="1387"/>
      <c r="N97" s="1387"/>
      <c r="O97" s="1387"/>
      <c r="P97" s="1388"/>
      <c r="Q97" s="1392" t="s">
        <v>754</v>
      </c>
      <c r="R97" s="1392"/>
      <c r="S97" s="1392"/>
      <c r="T97" s="1392"/>
      <c r="U97" s="1392"/>
      <c r="V97" s="1392"/>
      <c r="W97" s="1369">
        <f ca="1">SUMIF($Q$76:$AC$96,"初期費",$W$76:$AC$96)+SUMIF($Q$76:$AC$96,"カスタマイズ費",$W$76:$AC$96)</f>
        <v>60000</v>
      </c>
      <c r="X97" s="1369"/>
      <c r="Y97" s="1369"/>
      <c r="Z97" s="1369"/>
      <c r="AA97" s="1369"/>
      <c r="AB97" s="1369"/>
      <c r="AC97" s="1369"/>
    </row>
    <row r="98" spans="2:43" ht="19.5" customHeight="1" thickBot="1">
      <c r="B98" s="1389"/>
      <c r="C98" s="1390"/>
      <c r="D98" s="1390"/>
      <c r="E98" s="1390"/>
      <c r="F98" s="1390"/>
      <c r="G98" s="1390"/>
      <c r="H98" s="1390"/>
      <c r="I98" s="1390"/>
      <c r="J98" s="1390"/>
      <c r="K98" s="1390"/>
      <c r="L98" s="1390"/>
      <c r="M98" s="1390"/>
      <c r="N98" s="1390"/>
      <c r="O98" s="1390"/>
      <c r="P98" s="1391"/>
      <c r="Q98" s="1362" t="s">
        <v>755</v>
      </c>
      <c r="R98" s="1362"/>
      <c r="S98" s="1362"/>
      <c r="T98" s="1362"/>
      <c r="U98" s="1362"/>
      <c r="V98" s="1362"/>
      <c r="W98" s="1370">
        <f ca="1">SUMIF($Q$76:$AC$96,"年額費",$W$76:$AC$96)</f>
        <v>72000</v>
      </c>
      <c r="X98" s="1370"/>
      <c r="Y98" s="1370"/>
      <c r="Z98" s="1370"/>
      <c r="AA98" s="1370"/>
      <c r="AB98" s="1370"/>
      <c r="AC98" s="1370"/>
      <c r="AE98" s="1436" t="s">
        <v>602</v>
      </c>
      <c r="AF98" s="1437"/>
      <c r="AG98" s="1437"/>
      <c r="AH98" s="1437"/>
      <c r="AI98" s="1437"/>
      <c r="AJ98" s="1437"/>
      <c r="AK98" s="1342">
        <f ca="1">W98/12</f>
        <v>6000</v>
      </c>
      <c r="AL98" s="1343"/>
      <c r="AM98" s="1343"/>
      <c r="AN98" s="1343"/>
      <c r="AO98" s="1343"/>
      <c r="AP98" s="1343"/>
      <c r="AQ98" s="1438"/>
    </row>
    <row r="99" spans="2:43" ht="24" customHeight="1">
      <c r="B99" s="375" t="s">
        <v>115</v>
      </c>
      <c r="AE99" s="1436" t="s">
        <v>228</v>
      </c>
      <c r="AF99" s="1437"/>
      <c r="AG99" s="1437"/>
      <c r="AH99" s="1437"/>
      <c r="AI99" s="1437"/>
      <c r="AJ99" s="1437"/>
      <c r="AK99" s="1439">
        <f ca="1">AK98/AK74</f>
        <v>6000</v>
      </c>
      <c r="AL99" s="1440"/>
      <c r="AM99" s="1440"/>
      <c r="AN99" s="1440"/>
      <c r="AO99" s="1440"/>
      <c r="AP99" s="1440"/>
      <c r="AQ99" s="1441"/>
    </row>
    <row r="100" spans="2:43" ht="7.5" customHeight="1" thickBot="1"/>
    <row r="101" spans="2:43" ht="19.5" customHeight="1" thickTop="1" thickBot="1">
      <c r="B101" s="793" t="s">
        <v>344</v>
      </c>
      <c r="C101" s="794"/>
      <c r="D101" s="794"/>
      <c r="E101" s="794"/>
      <c r="F101" s="794"/>
      <c r="G101" s="794"/>
      <c r="H101" s="794"/>
      <c r="I101" s="1385"/>
      <c r="J101" s="1320" t="s">
        <v>346</v>
      </c>
      <c r="K101" s="1321"/>
      <c r="L101" s="1321"/>
      <c r="M101" s="1322"/>
      <c r="N101" s="1403">
        <f>IF(ISERROR(S101*W101),0,ROUNDUP(S101*W101,0))</f>
        <v>0</v>
      </c>
      <c r="O101" s="1404"/>
      <c r="P101" t="s">
        <v>349</v>
      </c>
      <c r="R101" t="s">
        <v>184</v>
      </c>
      <c r="S101" s="535">
        <v>0</v>
      </c>
      <c r="T101" s="361" t="s">
        <v>185</v>
      </c>
      <c r="U101" s="361"/>
      <c r="V101" s="361"/>
      <c r="W101" s="535">
        <v>1</v>
      </c>
      <c r="X101" t="s">
        <v>186</v>
      </c>
      <c r="AD101" t="s">
        <v>130</v>
      </c>
    </row>
    <row r="102" spans="2:43" ht="19.5" customHeight="1" thickTop="1" thickBot="1">
      <c r="B102" s="1377" t="s">
        <v>345</v>
      </c>
      <c r="C102" s="1378"/>
      <c r="D102" s="1378"/>
      <c r="E102" s="1378"/>
      <c r="F102" s="1378"/>
      <c r="G102" s="1378"/>
      <c r="H102" s="1378"/>
      <c r="I102" s="1379"/>
      <c r="J102" s="1400" t="s">
        <v>346</v>
      </c>
      <c r="K102" s="1401"/>
      <c r="L102" s="1401"/>
      <c r="M102" s="1402"/>
      <c r="N102" s="1429">
        <f>IF(ISERROR(S102*W102),0,ROUNDUP(S102*W102,0))</f>
        <v>0</v>
      </c>
      <c r="O102" s="1430"/>
      <c r="P102" t="s">
        <v>349</v>
      </c>
      <c r="R102" t="s">
        <v>184</v>
      </c>
      <c r="S102" s="535">
        <v>0</v>
      </c>
      <c r="T102" s="361" t="s">
        <v>185</v>
      </c>
      <c r="U102" s="361"/>
      <c r="V102" s="361"/>
      <c r="W102" s="535">
        <v>1</v>
      </c>
      <c r="X102" t="s">
        <v>186</v>
      </c>
      <c r="AD102" t="s">
        <v>130</v>
      </c>
    </row>
    <row r="103" spans="2:43" ht="19.5" customHeight="1" thickTop="1" thickBot="1">
      <c r="B103" s="1380"/>
      <c r="C103" s="1381"/>
      <c r="D103" s="1381"/>
      <c r="E103" s="1381"/>
      <c r="F103" s="1381"/>
      <c r="G103" s="1381"/>
      <c r="H103" s="1381"/>
      <c r="I103" s="1382"/>
      <c r="J103" s="1397" t="s">
        <v>347</v>
      </c>
      <c r="K103" s="1398"/>
      <c r="L103" s="1398"/>
      <c r="M103" s="1399"/>
      <c r="N103" s="1431">
        <f>IF(ISERROR(S103*(12/V103)),0,ROUNDUP(S103*(12/V103),0))</f>
        <v>0</v>
      </c>
      <c r="O103" s="1432"/>
      <c r="P103" t="s">
        <v>349</v>
      </c>
      <c r="R103" t="s">
        <v>184</v>
      </c>
      <c r="S103" s="535">
        <v>0</v>
      </c>
      <c r="T103" t="s">
        <v>187</v>
      </c>
      <c r="V103" s="535">
        <v>1</v>
      </c>
      <c r="W103" t="s">
        <v>188</v>
      </c>
      <c r="Y103" s="38"/>
      <c r="AD103" t="s">
        <v>131</v>
      </c>
    </row>
    <row r="104" spans="2:43" ht="19.5" customHeight="1" thickTop="1" thickBot="1">
      <c r="B104" s="793" t="s">
        <v>364</v>
      </c>
      <c r="C104" s="794"/>
      <c r="D104" s="794"/>
      <c r="E104" s="794"/>
      <c r="F104" s="794"/>
      <c r="G104" s="794"/>
      <c r="H104" s="794"/>
      <c r="I104" s="1385"/>
      <c r="J104" s="1320" t="s">
        <v>348</v>
      </c>
      <c r="K104" s="1321"/>
      <c r="L104" s="1321"/>
      <c r="M104" s="1322"/>
      <c r="N104" s="1403">
        <f>IF(ISERROR(S104*(360/V104)*(Y104/8)),0,ROUNDUP(S104*(360/V104)*(Y104/8),0))</f>
        <v>0</v>
      </c>
      <c r="O104" s="1404"/>
      <c r="P104" t="s">
        <v>349</v>
      </c>
      <c r="R104" t="s">
        <v>184</v>
      </c>
      <c r="S104" s="535">
        <v>0</v>
      </c>
      <c r="T104" t="s">
        <v>187</v>
      </c>
      <c r="V104" s="536">
        <v>0</v>
      </c>
      <c r="W104" t="s">
        <v>189</v>
      </c>
      <c r="Y104" s="535">
        <v>0</v>
      </c>
      <c r="Z104" t="s">
        <v>190</v>
      </c>
      <c r="AD104" t="s">
        <v>191</v>
      </c>
    </row>
    <row r="105" spans="2:43" ht="19.5" customHeight="1" thickTop="1" thickBot="1">
      <c r="B105" s="793" t="s">
        <v>365</v>
      </c>
      <c r="C105" s="794"/>
      <c r="D105" s="794"/>
      <c r="E105" s="794"/>
      <c r="F105" s="794"/>
      <c r="G105" s="794"/>
      <c r="H105" s="794"/>
      <c r="I105" s="1385"/>
      <c r="J105" s="1320" t="s">
        <v>348</v>
      </c>
      <c r="K105" s="1321"/>
      <c r="L105" s="1321"/>
      <c r="M105" s="1322"/>
      <c r="N105" s="1403">
        <f>IF(ISERROR(S105*(360/V105)*(Y105/8)),0,ROUNDUP(S105*(360/V105)*(Y105/8),0))</f>
        <v>0</v>
      </c>
      <c r="O105" s="1404"/>
      <c r="P105" t="s">
        <v>349</v>
      </c>
      <c r="R105" t="s">
        <v>184</v>
      </c>
      <c r="S105" s="535">
        <v>0</v>
      </c>
      <c r="T105" t="s">
        <v>187</v>
      </c>
      <c r="V105" s="536">
        <v>30</v>
      </c>
      <c r="W105" t="s">
        <v>189</v>
      </c>
      <c r="Y105" s="535">
        <v>1</v>
      </c>
      <c r="Z105" t="s">
        <v>190</v>
      </c>
      <c r="AD105" t="s">
        <v>192</v>
      </c>
    </row>
    <row r="106" spans="2:43" ht="8.1" customHeight="1" thickBot="1"/>
    <row r="107" spans="2:43" ht="24" customHeight="1" thickBot="1">
      <c r="B107" s="1346" t="s">
        <v>642</v>
      </c>
      <c r="C107" s="1347"/>
      <c r="D107" s="1347"/>
      <c r="E107" s="1347"/>
      <c r="F107" s="1347"/>
      <c r="G107" s="1347"/>
      <c r="H107" s="1347"/>
      <c r="I107" s="1347"/>
      <c r="J107" s="1347"/>
      <c r="K107" s="1347"/>
      <c r="L107" s="1347"/>
      <c r="M107" s="1347"/>
      <c r="N107" s="1347"/>
      <c r="O107" s="1347"/>
      <c r="P107" s="1347"/>
      <c r="Q107" s="1347"/>
      <c r="R107" s="1347"/>
      <c r="S107" s="1347"/>
      <c r="T107" s="1347"/>
      <c r="U107" s="1347"/>
      <c r="V107" s="1347"/>
      <c r="W107" s="1347"/>
      <c r="X107" s="1347"/>
      <c r="Y107" s="1347"/>
      <c r="Z107" s="1347"/>
      <c r="AA107" s="1347"/>
      <c r="AB107" s="1347"/>
      <c r="AC107" s="1348"/>
    </row>
    <row r="108" spans="2:43" ht="24" customHeight="1">
      <c r="B108" s="375" t="s">
        <v>114</v>
      </c>
    </row>
    <row r="109" spans="2:43" ht="7.5" customHeight="1" thickBot="1"/>
    <row r="110" spans="2:43" ht="19.5" customHeight="1" thickTop="1" thickBot="1">
      <c r="B110" s="1331" t="s">
        <v>636</v>
      </c>
      <c r="C110" s="1331"/>
      <c r="D110" s="1331"/>
      <c r="E110" s="1331"/>
      <c r="F110" s="1331"/>
      <c r="G110" s="1331"/>
      <c r="H110" s="1331"/>
      <c r="I110" s="1331" t="s">
        <v>637</v>
      </c>
      <c r="J110" s="1331"/>
      <c r="K110" s="1331"/>
      <c r="L110" s="1331"/>
      <c r="M110" s="1331"/>
      <c r="N110" s="1331"/>
      <c r="O110" s="1331"/>
      <c r="P110" s="1331"/>
      <c r="Q110" s="1335" t="s">
        <v>628</v>
      </c>
      <c r="R110" s="1335"/>
      <c r="S110" s="1335"/>
      <c r="T110" s="1335"/>
      <c r="U110" s="1335"/>
      <c r="V110" s="1335"/>
      <c r="W110" s="1327">
        <v>0</v>
      </c>
      <c r="X110" s="1328"/>
      <c r="Y110" s="1328"/>
      <c r="Z110" s="1328"/>
      <c r="AA110" s="1328"/>
      <c r="AB110" s="1328"/>
      <c r="AC110" s="1329"/>
    </row>
    <row r="111" spans="2:43" ht="19.5" customHeight="1" thickTop="1" thickBot="1">
      <c r="B111" s="1332"/>
      <c r="C111" s="1332"/>
      <c r="D111" s="1332"/>
      <c r="E111" s="1332"/>
      <c r="F111" s="1332"/>
      <c r="G111" s="1332"/>
      <c r="H111" s="1332"/>
      <c r="I111" s="1332"/>
      <c r="J111" s="1332"/>
      <c r="K111" s="1332"/>
      <c r="L111" s="1332"/>
      <c r="M111" s="1332"/>
      <c r="N111" s="1332"/>
      <c r="O111" s="1332"/>
      <c r="P111" s="1332"/>
      <c r="Q111" s="1340" t="s">
        <v>639</v>
      </c>
      <c r="R111" s="1340"/>
      <c r="S111" s="1340"/>
      <c r="T111" s="1340"/>
      <c r="U111" s="1340"/>
      <c r="V111" s="1340"/>
      <c r="W111" s="1327">
        <v>0</v>
      </c>
      <c r="X111" s="1328"/>
      <c r="Y111" s="1328"/>
      <c r="Z111" s="1328"/>
      <c r="AA111" s="1328"/>
      <c r="AB111" s="1328"/>
      <c r="AC111" s="1329"/>
    </row>
    <row r="112" spans="2:43" ht="19.5" customHeight="1" thickTop="1" thickBot="1">
      <c r="B112" s="1332"/>
      <c r="C112" s="1332"/>
      <c r="D112" s="1332"/>
      <c r="E112" s="1332"/>
      <c r="F112" s="1332"/>
      <c r="G112" s="1332"/>
      <c r="H112" s="1332"/>
      <c r="I112" s="1332"/>
      <c r="J112" s="1332"/>
      <c r="K112" s="1332"/>
      <c r="L112" s="1332"/>
      <c r="M112" s="1332"/>
      <c r="N112" s="1332"/>
      <c r="O112" s="1332"/>
      <c r="P112" s="1332"/>
      <c r="Q112" s="1340" t="s">
        <v>629</v>
      </c>
      <c r="R112" s="1340"/>
      <c r="S112" s="1340"/>
      <c r="T112" s="1340"/>
      <c r="U112" s="1340"/>
      <c r="V112" s="1340"/>
      <c r="W112" s="1342">
        <f>W110*0.1</f>
        <v>0</v>
      </c>
      <c r="X112" s="1343"/>
      <c r="Y112" s="1343"/>
      <c r="Z112" s="1343"/>
      <c r="AA112" s="1343"/>
      <c r="AB112" s="1343"/>
      <c r="AC112" s="1344"/>
      <c r="AD112" t="s">
        <v>643</v>
      </c>
    </row>
    <row r="113" spans="2:30" ht="19.5" customHeight="1" thickTop="1" thickBot="1">
      <c r="B113" s="1332"/>
      <c r="C113" s="1332"/>
      <c r="D113" s="1332"/>
      <c r="E113" s="1332"/>
      <c r="F113" s="1332"/>
      <c r="G113" s="1332"/>
      <c r="H113" s="1332"/>
      <c r="I113" s="1332" t="s">
        <v>638</v>
      </c>
      <c r="J113" s="1332"/>
      <c r="K113" s="1332"/>
      <c r="L113" s="1332"/>
      <c r="M113" s="1332"/>
      <c r="N113" s="1332"/>
      <c r="O113" s="1332"/>
      <c r="P113" s="1332"/>
      <c r="Q113" s="1340" t="s">
        <v>628</v>
      </c>
      <c r="R113" s="1340"/>
      <c r="S113" s="1340"/>
      <c r="T113" s="1340"/>
      <c r="U113" s="1340"/>
      <c r="V113" s="1340"/>
      <c r="W113" s="1327">
        <v>0</v>
      </c>
      <c r="X113" s="1328"/>
      <c r="Y113" s="1328"/>
      <c r="Z113" s="1328"/>
      <c r="AA113" s="1328"/>
      <c r="AB113" s="1328"/>
      <c r="AC113" s="1329"/>
    </row>
    <row r="114" spans="2:30" ht="19.5" customHeight="1" thickTop="1" thickBot="1">
      <c r="B114" s="1332"/>
      <c r="C114" s="1332"/>
      <c r="D114" s="1332"/>
      <c r="E114" s="1332"/>
      <c r="F114" s="1332"/>
      <c r="G114" s="1332"/>
      <c r="H114" s="1332"/>
      <c r="I114" s="1332"/>
      <c r="J114" s="1332"/>
      <c r="K114" s="1332"/>
      <c r="L114" s="1332"/>
      <c r="M114" s="1332"/>
      <c r="N114" s="1332"/>
      <c r="O114" s="1332"/>
      <c r="P114" s="1332"/>
      <c r="Q114" s="1340" t="s">
        <v>639</v>
      </c>
      <c r="R114" s="1340"/>
      <c r="S114" s="1340"/>
      <c r="T114" s="1340"/>
      <c r="U114" s="1340"/>
      <c r="V114" s="1340"/>
      <c r="W114" s="1327">
        <v>0</v>
      </c>
      <c r="X114" s="1328"/>
      <c r="Y114" s="1328"/>
      <c r="Z114" s="1328"/>
      <c r="AA114" s="1328"/>
      <c r="AB114" s="1328"/>
      <c r="AC114" s="1329"/>
    </row>
    <row r="115" spans="2:30" ht="19.5" customHeight="1" thickTop="1" thickBot="1">
      <c r="B115" s="1333"/>
      <c r="C115" s="1333"/>
      <c r="D115" s="1333"/>
      <c r="E115" s="1333"/>
      <c r="F115" s="1333"/>
      <c r="G115" s="1333"/>
      <c r="H115" s="1333"/>
      <c r="I115" s="1333"/>
      <c r="J115" s="1333"/>
      <c r="K115" s="1333"/>
      <c r="L115" s="1333"/>
      <c r="M115" s="1333"/>
      <c r="N115" s="1333"/>
      <c r="O115" s="1333"/>
      <c r="P115" s="1333"/>
      <c r="Q115" s="1341" t="s">
        <v>629</v>
      </c>
      <c r="R115" s="1341"/>
      <c r="S115" s="1341"/>
      <c r="T115" s="1341"/>
      <c r="U115" s="1341"/>
      <c r="V115" s="1341"/>
      <c r="W115" s="1342">
        <f>W113*0.1</f>
        <v>0</v>
      </c>
      <c r="X115" s="1343"/>
      <c r="Y115" s="1343"/>
      <c r="Z115" s="1343"/>
      <c r="AA115" s="1343"/>
      <c r="AB115" s="1343"/>
      <c r="AC115" s="1344"/>
      <c r="AD115" t="s">
        <v>643</v>
      </c>
    </row>
    <row r="116" spans="2:30" ht="19.5" customHeight="1" thickTop="1" thickBot="1">
      <c r="B116" s="1331" t="s">
        <v>625</v>
      </c>
      <c r="C116" s="1331"/>
      <c r="D116" s="1331"/>
      <c r="E116" s="1331"/>
      <c r="F116" s="1331"/>
      <c r="G116" s="1331"/>
      <c r="H116" s="1331"/>
      <c r="I116" s="1331" t="s">
        <v>626</v>
      </c>
      <c r="J116" s="1331"/>
      <c r="K116" s="1331"/>
      <c r="L116" s="1331"/>
      <c r="M116" s="1331"/>
      <c r="N116" s="1331"/>
      <c r="O116" s="1331"/>
      <c r="P116" s="1331"/>
      <c r="Q116" s="1335" t="s">
        <v>628</v>
      </c>
      <c r="R116" s="1335"/>
      <c r="S116" s="1335"/>
      <c r="T116" s="1335"/>
      <c r="U116" s="1335"/>
      <c r="V116" s="1335"/>
      <c r="W116" s="1327">
        <v>0</v>
      </c>
      <c r="X116" s="1328"/>
      <c r="Y116" s="1328"/>
      <c r="Z116" s="1328"/>
      <c r="AA116" s="1328"/>
      <c r="AB116" s="1328"/>
      <c r="AC116" s="1329"/>
    </row>
    <row r="117" spans="2:30" ht="19.5" customHeight="1" thickTop="1" thickBot="1">
      <c r="B117" s="1332"/>
      <c r="C117" s="1332"/>
      <c r="D117" s="1332"/>
      <c r="E117" s="1332"/>
      <c r="F117" s="1332"/>
      <c r="G117" s="1332"/>
      <c r="H117" s="1332"/>
      <c r="I117" s="1332"/>
      <c r="J117" s="1332"/>
      <c r="K117" s="1332"/>
      <c r="L117" s="1332"/>
      <c r="M117" s="1332"/>
      <c r="N117" s="1332"/>
      <c r="O117" s="1332"/>
      <c r="P117" s="1332"/>
      <c r="Q117" s="1340" t="s">
        <v>629</v>
      </c>
      <c r="R117" s="1340"/>
      <c r="S117" s="1340"/>
      <c r="T117" s="1340"/>
      <c r="U117" s="1340"/>
      <c r="V117" s="1340"/>
      <c r="W117" s="1330">
        <f>W116*0.1</f>
        <v>0</v>
      </c>
      <c r="X117" s="1330"/>
      <c r="Y117" s="1330"/>
      <c r="Z117" s="1330"/>
      <c r="AA117" s="1330"/>
      <c r="AB117" s="1330"/>
      <c r="AC117" s="1330"/>
      <c r="AD117" t="s">
        <v>641</v>
      </c>
    </row>
    <row r="118" spans="2:30" ht="19.5" customHeight="1" thickTop="1" thickBot="1">
      <c r="B118" s="1332"/>
      <c r="C118" s="1332"/>
      <c r="D118" s="1332"/>
      <c r="E118" s="1332"/>
      <c r="F118" s="1332"/>
      <c r="G118" s="1332"/>
      <c r="H118" s="1332"/>
      <c r="I118" s="1332" t="s">
        <v>627</v>
      </c>
      <c r="J118" s="1332"/>
      <c r="K118" s="1332"/>
      <c r="L118" s="1332"/>
      <c r="M118" s="1332"/>
      <c r="N118" s="1332"/>
      <c r="O118" s="1332"/>
      <c r="P118" s="1332"/>
      <c r="Q118" s="1340" t="s">
        <v>628</v>
      </c>
      <c r="R118" s="1340"/>
      <c r="S118" s="1340"/>
      <c r="T118" s="1340"/>
      <c r="U118" s="1340"/>
      <c r="V118" s="1340"/>
      <c r="W118" s="1327">
        <v>0</v>
      </c>
      <c r="X118" s="1328"/>
      <c r="Y118" s="1328"/>
      <c r="Z118" s="1328"/>
      <c r="AA118" s="1328"/>
      <c r="AB118" s="1328"/>
      <c r="AC118" s="1329"/>
    </row>
    <row r="119" spans="2:30" ht="19.5" customHeight="1" thickTop="1" thickBot="1">
      <c r="B119" s="1333"/>
      <c r="C119" s="1333"/>
      <c r="D119" s="1333"/>
      <c r="E119" s="1333"/>
      <c r="F119" s="1333"/>
      <c r="G119" s="1333"/>
      <c r="H119" s="1333"/>
      <c r="I119" s="1333"/>
      <c r="J119" s="1333"/>
      <c r="K119" s="1333"/>
      <c r="L119" s="1333"/>
      <c r="M119" s="1333"/>
      <c r="N119" s="1333"/>
      <c r="O119" s="1333"/>
      <c r="P119" s="1333"/>
      <c r="Q119" s="1341" t="s">
        <v>629</v>
      </c>
      <c r="R119" s="1341"/>
      <c r="S119" s="1341"/>
      <c r="T119" s="1341"/>
      <c r="U119" s="1341"/>
      <c r="V119" s="1341"/>
      <c r="W119" s="1330">
        <f>W118*0.1</f>
        <v>0</v>
      </c>
      <c r="X119" s="1330"/>
      <c r="Y119" s="1330"/>
      <c r="Z119" s="1330"/>
      <c r="AA119" s="1330"/>
      <c r="AB119" s="1330"/>
      <c r="AC119" s="1330"/>
      <c r="AD119" t="s">
        <v>641</v>
      </c>
    </row>
    <row r="120" spans="2:30" ht="19.5" customHeight="1" thickTop="1" thickBot="1">
      <c r="B120" s="1331" t="s">
        <v>630</v>
      </c>
      <c r="C120" s="1331"/>
      <c r="D120" s="1331"/>
      <c r="E120" s="1331"/>
      <c r="F120" s="1331"/>
      <c r="G120" s="1331"/>
      <c r="H120" s="1331"/>
      <c r="I120" s="1334" t="s">
        <v>282</v>
      </c>
      <c r="J120" s="1331"/>
      <c r="K120" s="1331"/>
      <c r="L120" s="1331"/>
      <c r="M120" s="1331"/>
      <c r="N120" s="1331"/>
      <c r="O120" s="1331"/>
      <c r="P120" s="1331"/>
      <c r="Q120" s="1335" t="s">
        <v>628</v>
      </c>
      <c r="R120" s="1335"/>
      <c r="S120" s="1335"/>
      <c r="T120" s="1335"/>
      <c r="U120" s="1335"/>
      <c r="V120" s="1335"/>
      <c r="W120" s="1327">
        <v>0</v>
      </c>
      <c r="X120" s="1328"/>
      <c r="Y120" s="1328"/>
      <c r="Z120" s="1328"/>
      <c r="AA120" s="1328"/>
      <c r="AB120" s="1328"/>
      <c r="AC120" s="1329"/>
      <c r="AD120" t="s">
        <v>641</v>
      </c>
    </row>
    <row r="121" spans="2:30" ht="19.5" customHeight="1" thickTop="1" thickBot="1">
      <c r="B121" s="1332"/>
      <c r="C121" s="1332"/>
      <c r="D121" s="1332"/>
      <c r="E121" s="1332"/>
      <c r="F121" s="1332"/>
      <c r="G121" s="1332"/>
      <c r="H121" s="1332"/>
      <c r="I121" s="1332"/>
      <c r="J121" s="1332"/>
      <c r="K121" s="1332"/>
      <c r="L121" s="1332"/>
      <c r="M121" s="1332"/>
      <c r="N121" s="1332"/>
      <c r="O121" s="1332"/>
      <c r="P121" s="1332"/>
      <c r="Q121" s="1340" t="s">
        <v>629</v>
      </c>
      <c r="R121" s="1340"/>
      <c r="S121" s="1340"/>
      <c r="T121" s="1340"/>
      <c r="U121" s="1340"/>
      <c r="V121" s="1340"/>
      <c r="W121" s="1330">
        <f>W120*0.1</f>
        <v>0</v>
      </c>
      <c r="X121" s="1330"/>
      <c r="Y121" s="1330"/>
      <c r="Z121" s="1330"/>
      <c r="AA121" s="1330"/>
      <c r="AB121" s="1330"/>
      <c r="AC121" s="1330"/>
      <c r="AD121" t="s">
        <v>641</v>
      </c>
    </row>
    <row r="122" spans="2:30" ht="19.5" customHeight="1" thickTop="1" thickBot="1">
      <c r="B122" s="1332"/>
      <c r="C122" s="1332"/>
      <c r="D122" s="1332"/>
      <c r="E122" s="1332"/>
      <c r="F122" s="1332"/>
      <c r="G122" s="1332"/>
      <c r="H122" s="1332"/>
      <c r="I122" s="1360" t="s">
        <v>284</v>
      </c>
      <c r="J122" s="1332"/>
      <c r="K122" s="1332"/>
      <c r="L122" s="1332"/>
      <c r="M122" s="1332"/>
      <c r="N122" s="1332"/>
      <c r="O122" s="1332"/>
      <c r="P122" s="1332"/>
      <c r="Q122" s="1340" t="s">
        <v>628</v>
      </c>
      <c r="R122" s="1340"/>
      <c r="S122" s="1340"/>
      <c r="T122" s="1340"/>
      <c r="U122" s="1340"/>
      <c r="V122" s="1340"/>
      <c r="W122" s="1327">
        <v>0</v>
      </c>
      <c r="X122" s="1328"/>
      <c r="Y122" s="1328"/>
      <c r="Z122" s="1328"/>
      <c r="AA122" s="1328"/>
      <c r="AB122" s="1328"/>
      <c r="AC122" s="1329"/>
      <c r="AD122" t="s">
        <v>641</v>
      </c>
    </row>
    <row r="123" spans="2:30" ht="19.5" customHeight="1" thickTop="1" thickBot="1">
      <c r="B123" s="1332"/>
      <c r="C123" s="1332"/>
      <c r="D123" s="1332"/>
      <c r="E123" s="1332"/>
      <c r="F123" s="1332"/>
      <c r="G123" s="1332"/>
      <c r="H123" s="1332"/>
      <c r="I123" s="1332"/>
      <c r="J123" s="1332"/>
      <c r="K123" s="1332"/>
      <c r="L123" s="1332"/>
      <c r="M123" s="1332"/>
      <c r="N123" s="1332"/>
      <c r="O123" s="1332"/>
      <c r="P123" s="1332"/>
      <c r="Q123" s="1340" t="s">
        <v>629</v>
      </c>
      <c r="R123" s="1340"/>
      <c r="S123" s="1340"/>
      <c r="T123" s="1340"/>
      <c r="U123" s="1340"/>
      <c r="V123" s="1340"/>
      <c r="W123" s="1330">
        <f>W122*0.1</f>
        <v>0</v>
      </c>
      <c r="X123" s="1330"/>
      <c r="Y123" s="1330"/>
      <c r="Z123" s="1330"/>
      <c r="AA123" s="1330"/>
      <c r="AB123" s="1330"/>
      <c r="AC123" s="1330"/>
      <c r="AD123" t="s">
        <v>641</v>
      </c>
    </row>
    <row r="124" spans="2:30" ht="19.5" customHeight="1" thickTop="1" thickBot="1">
      <c r="B124" s="1332"/>
      <c r="C124" s="1332"/>
      <c r="D124" s="1332"/>
      <c r="E124" s="1332"/>
      <c r="F124" s="1332"/>
      <c r="G124" s="1332"/>
      <c r="H124" s="1332"/>
      <c r="I124" s="1332" t="s">
        <v>631</v>
      </c>
      <c r="J124" s="1332"/>
      <c r="K124" s="1332"/>
      <c r="L124" s="1332"/>
      <c r="M124" s="1332"/>
      <c r="N124" s="1332"/>
      <c r="O124" s="1332"/>
      <c r="P124" s="1332"/>
      <c r="Q124" s="1340" t="s">
        <v>628</v>
      </c>
      <c r="R124" s="1340"/>
      <c r="S124" s="1340"/>
      <c r="T124" s="1340"/>
      <c r="U124" s="1340"/>
      <c r="V124" s="1340"/>
      <c r="W124" s="1337">
        <v>0</v>
      </c>
      <c r="X124" s="1338"/>
      <c r="Y124" s="1338"/>
      <c r="Z124" s="1338"/>
      <c r="AA124" s="1338"/>
      <c r="AB124" s="1338"/>
      <c r="AC124" s="1339"/>
      <c r="AD124" t="s">
        <v>285</v>
      </c>
    </row>
    <row r="125" spans="2:30" ht="19.5" customHeight="1" thickTop="1" thickBot="1">
      <c r="B125" s="1333"/>
      <c r="C125" s="1333"/>
      <c r="D125" s="1333"/>
      <c r="E125" s="1333"/>
      <c r="F125" s="1333"/>
      <c r="G125" s="1333"/>
      <c r="H125" s="1333"/>
      <c r="I125" s="1333"/>
      <c r="J125" s="1333"/>
      <c r="K125" s="1333"/>
      <c r="L125" s="1333"/>
      <c r="M125" s="1333"/>
      <c r="N125" s="1333"/>
      <c r="O125" s="1333"/>
      <c r="P125" s="1333"/>
      <c r="Q125" s="1341" t="s">
        <v>629</v>
      </c>
      <c r="R125" s="1341"/>
      <c r="S125" s="1341"/>
      <c r="T125" s="1341"/>
      <c r="U125" s="1341"/>
      <c r="V125" s="1341"/>
      <c r="W125" s="1345">
        <f>W124*0.12</f>
        <v>0</v>
      </c>
      <c r="X125" s="1345"/>
      <c r="Y125" s="1345"/>
      <c r="Z125" s="1345"/>
      <c r="AA125" s="1345"/>
      <c r="AB125" s="1345"/>
      <c r="AC125" s="1345"/>
      <c r="AD125" t="s">
        <v>285</v>
      </c>
    </row>
    <row r="126" spans="2:30" ht="19.5" customHeight="1" thickBot="1">
      <c r="B126" s="1377" t="s">
        <v>633</v>
      </c>
      <c r="C126" s="1378"/>
      <c r="D126" s="1378"/>
      <c r="E126" s="1378"/>
      <c r="F126" s="1378"/>
      <c r="G126" s="1378"/>
      <c r="H126" s="1379"/>
      <c r="I126" s="1377"/>
      <c r="J126" s="1378"/>
      <c r="K126" s="1378"/>
      <c r="L126" s="1378"/>
      <c r="M126" s="1378"/>
      <c r="N126" s="1378"/>
      <c r="O126" s="1378"/>
      <c r="P126" s="1379"/>
      <c r="Q126" s="1335" t="s">
        <v>634</v>
      </c>
      <c r="R126" s="1335"/>
      <c r="S126" s="1335"/>
      <c r="T126" s="1335"/>
      <c r="U126" s="1335"/>
      <c r="V126" s="1335"/>
      <c r="W126" s="1428" t="s">
        <v>644</v>
      </c>
      <c r="X126" s="1428"/>
      <c r="Y126" s="1428"/>
      <c r="Z126" s="1428"/>
      <c r="AA126" s="1428"/>
      <c r="AB126" s="1428"/>
      <c r="AC126" s="1428"/>
    </row>
    <row r="127" spans="2:30" ht="19.5" customHeight="1" thickTop="1" thickBot="1">
      <c r="B127" s="1406"/>
      <c r="C127" s="1407"/>
      <c r="D127" s="1407"/>
      <c r="E127" s="1407"/>
      <c r="F127" s="1407"/>
      <c r="G127" s="1407"/>
      <c r="H127" s="1408"/>
      <c r="I127" s="1406"/>
      <c r="J127" s="1407"/>
      <c r="K127" s="1407"/>
      <c r="L127" s="1407"/>
      <c r="M127" s="1407"/>
      <c r="N127" s="1407"/>
      <c r="O127" s="1407"/>
      <c r="P127" s="1408"/>
      <c r="Q127" s="1340" t="s">
        <v>628</v>
      </c>
      <c r="R127" s="1340"/>
      <c r="S127" s="1340"/>
      <c r="T127" s="1340"/>
      <c r="U127" s="1340"/>
      <c r="V127" s="1340"/>
      <c r="W127" s="1327">
        <v>0</v>
      </c>
      <c r="X127" s="1328"/>
      <c r="Y127" s="1328"/>
      <c r="Z127" s="1328"/>
      <c r="AA127" s="1328"/>
      <c r="AB127" s="1328"/>
      <c r="AC127" s="1329"/>
    </row>
    <row r="128" spans="2:30" ht="19.5" customHeight="1" thickTop="1" thickBot="1">
      <c r="B128" s="1380"/>
      <c r="C128" s="1381"/>
      <c r="D128" s="1381"/>
      <c r="E128" s="1381"/>
      <c r="F128" s="1381"/>
      <c r="G128" s="1381"/>
      <c r="H128" s="1382"/>
      <c r="I128" s="1380"/>
      <c r="J128" s="1381"/>
      <c r="K128" s="1381"/>
      <c r="L128" s="1381"/>
      <c r="M128" s="1381"/>
      <c r="N128" s="1381"/>
      <c r="O128" s="1381"/>
      <c r="P128" s="1382"/>
      <c r="Q128" s="1341" t="s">
        <v>629</v>
      </c>
      <c r="R128" s="1341"/>
      <c r="S128" s="1341"/>
      <c r="T128" s="1341"/>
      <c r="U128" s="1341"/>
      <c r="V128" s="1341"/>
      <c r="W128" s="1425">
        <f>W127*0.1</f>
        <v>0</v>
      </c>
      <c r="X128" s="1426"/>
      <c r="Y128" s="1426"/>
      <c r="Z128" s="1426"/>
      <c r="AA128" s="1426"/>
      <c r="AB128" s="1426"/>
      <c r="AC128" s="1427"/>
    </row>
    <row r="129" spans="2:42" ht="19.5" customHeight="1" thickTop="1" thickBot="1">
      <c r="B129" s="1373" t="s">
        <v>342</v>
      </c>
      <c r="C129" s="1373"/>
      <c r="D129" s="1373"/>
      <c r="E129" s="1373"/>
      <c r="F129" s="1373"/>
      <c r="G129" s="1373"/>
      <c r="H129" s="1373"/>
      <c r="I129" s="1373"/>
      <c r="J129" s="1373"/>
      <c r="K129" s="1373"/>
      <c r="L129" s="1373"/>
      <c r="M129" s="1373"/>
      <c r="N129" s="1373"/>
      <c r="O129" s="1373"/>
      <c r="P129" s="1373"/>
      <c r="Q129" s="1335" t="s">
        <v>628</v>
      </c>
      <c r="R129" s="1335"/>
      <c r="S129" s="1335"/>
      <c r="T129" s="1335"/>
      <c r="U129" s="1335"/>
      <c r="V129" s="1335"/>
      <c r="W129" s="1327">
        <v>0</v>
      </c>
      <c r="X129" s="1328"/>
      <c r="Y129" s="1328"/>
      <c r="Z129" s="1328"/>
      <c r="AA129" s="1328"/>
      <c r="AB129" s="1328"/>
      <c r="AC129" s="1329"/>
      <c r="AD129" t="s">
        <v>343</v>
      </c>
    </row>
    <row r="130" spans="2:42" ht="19.5" customHeight="1" thickTop="1" thickBot="1">
      <c r="B130" s="1373"/>
      <c r="C130" s="1373"/>
      <c r="D130" s="1373"/>
      <c r="E130" s="1373"/>
      <c r="F130" s="1373"/>
      <c r="G130" s="1373"/>
      <c r="H130" s="1373"/>
      <c r="I130" s="1373"/>
      <c r="J130" s="1373"/>
      <c r="K130" s="1373"/>
      <c r="L130" s="1373"/>
      <c r="M130" s="1373"/>
      <c r="N130" s="1373"/>
      <c r="O130" s="1373"/>
      <c r="P130" s="1373"/>
      <c r="Q130" s="1341" t="s">
        <v>629</v>
      </c>
      <c r="R130" s="1341"/>
      <c r="S130" s="1341"/>
      <c r="T130" s="1341"/>
      <c r="U130" s="1341"/>
      <c r="V130" s="1341"/>
      <c r="W130" s="1327">
        <v>0</v>
      </c>
      <c r="X130" s="1328"/>
      <c r="Y130" s="1328"/>
      <c r="Z130" s="1328"/>
      <c r="AA130" s="1328"/>
      <c r="AB130" s="1328"/>
      <c r="AC130" s="1329"/>
      <c r="AD130" t="s">
        <v>343</v>
      </c>
    </row>
    <row r="131" spans="2:42" ht="19.5" customHeight="1" thickBot="1">
      <c r="B131" s="1386" t="s">
        <v>590</v>
      </c>
      <c r="C131" s="1387"/>
      <c r="D131" s="1387"/>
      <c r="E131" s="1387"/>
      <c r="F131" s="1387"/>
      <c r="G131" s="1387"/>
      <c r="H131" s="1387"/>
      <c r="I131" s="1387"/>
      <c r="J131" s="1387"/>
      <c r="K131" s="1387"/>
      <c r="L131" s="1387"/>
      <c r="M131" s="1387"/>
      <c r="N131" s="1387"/>
      <c r="O131" s="1387"/>
      <c r="P131" s="1388"/>
      <c r="Q131" s="1392" t="s">
        <v>754</v>
      </c>
      <c r="R131" s="1392"/>
      <c r="S131" s="1392"/>
      <c r="T131" s="1392"/>
      <c r="U131" s="1392"/>
      <c r="V131" s="1392"/>
      <c r="W131" s="1369">
        <f ca="1">SUMIF($Q$110:$AC$130,"初期費",$W$110:$AC$130)+SUMIF($Q$110:$AC$130,"カスタマイズ費",$W$110:$AC$130)</f>
        <v>0</v>
      </c>
      <c r="X131" s="1369"/>
      <c r="Y131" s="1369"/>
      <c r="Z131" s="1369"/>
      <c r="AA131" s="1369"/>
      <c r="AB131" s="1369"/>
      <c r="AC131" s="1369"/>
    </row>
    <row r="132" spans="2:42" ht="19.5" customHeight="1" thickBot="1">
      <c r="B132" s="1389"/>
      <c r="C132" s="1390"/>
      <c r="D132" s="1390"/>
      <c r="E132" s="1390"/>
      <c r="F132" s="1390"/>
      <c r="G132" s="1390"/>
      <c r="H132" s="1390"/>
      <c r="I132" s="1390"/>
      <c r="J132" s="1390"/>
      <c r="K132" s="1390"/>
      <c r="L132" s="1390"/>
      <c r="M132" s="1390"/>
      <c r="N132" s="1390"/>
      <c r="O132" s="1390"/>
      <c r="P132" s="1391"/>
      <c r="Q132" s="1362" t="s">
        <v>755</v>
      </c>
      <c r="R132" s="1362"/>
      <c r="S132" s="1362"/>
      <c r="T132" s="1362"/>
      <c r="U132" s="1362"/>
      <c r="V132" s="1362"/>
      <c r="W132" s="1370">
        <f ca="1">SUMIF($Q$110:$AC$130,"年額費",$W$110:$AC$130)</f>
        <v>0</v>
      </c>
      <c r="X132" s="1370"/>
      <c r="Y132" s="1370"/>
      <c r="Z132" s="1370"/>
      <c r="AA132" s="1370"/>
      <c r="AB132" s="1370"/>
      <c r="AC132" s="1370"/>
      <c r="AD132" s="1434" t="s">
        <v>602</v>
      </c>
      <c r="AE132" s="1434"/>
      <c r="AF132" s="1434"/>
      <c r="AG132" s="1434"/>
      <c r="AH132" s="1434"/>
      <c r="AI132" s="1434"/>
      <c r="AJ132" s="1435">
        <f ca="1">W132/12</f>
        <v>0</v>
      </c>
      <c r="AK132" s="1435"/>
      <c r="AL132" s="1435"/>
      <c r="AM132" s="1435"/>
      <c r="AN132" s="1435"/>
      <c r="AO132" s="1435"/>
      <c r="AP132" s="1435"/>
    </row>
    <row r="133" spans="2:42" ht="24" customHeight="1">
      <c r="B133" s="375" t="s">
        <v>115</v>
      </c>
    </row>
    <row r="134" spans="2:42" ht="7.5" customHeight="1" thickBot="1"/>
    <row r="135" spans="2:42" ht="19.5" customHeight="1" thickTop="1" thickBot="1">
      <c r="B135" s="793" t="s">
        <v>344</v>
      </c>
      <c r="C135" s="794"/>
      <c r="D135" s="794"/>
      <c r="E135" s="794"/>
      <c r="F135" s="794"/>
      <c r="G135" s="794"/>
      <c r="H135" s="794"/>
      <c r="I135" s="1385"/>
      <c r="J135" s="1320" t="s">
        <v>346</v>
      </c>
      <c r="K135" s="1321"/>
      <c r="L135" s="1321"/>
      <c r="M135" s="1322"/>
      <c r="N135" s="1403">
        <f>IF(ISERROR(S135*W135),0,ROUNDUP(S135*W135,0))</f>
        <v>0</v>
      </c>
      <c r="O135" s="1404"/>
      <c r="P135" t="s">
        <v>349</v>
      </c>
      <c r="R135" t="s">
        <v>184</v>
      </c>
      <c r="S135" s="535">
        <v>0</v>
      </c>
      <c r="T135" s="361" t="s">
        <v>185</v>
      </c>
      <c r="U135" s="361"/>
      <c r="V135" s="361"/>
      <c r="W135" s="535">
        <v>1</v>
      </c>
      <c r="X135" t="s">
        <v>186</v>
      </c>
      <c r="AD135" t="s">
        <v>130</v>
      </c>
    </row>
    <row r="136" spans="2:42" ht="19.5" customHeight="1" thickTop="1" thickBot="1">
      <c r="B136" s="1377" t="s">
        <v>345</v>
      </c>
      <c r="C136" s="1378"/>
      <c r="D136" s="1378"/>
      <c r="E136" s="1378"/>
      <c r="F136" s="1378"/>
      <c r="G136" s="1378"/>
      <c r="H136" s="1378"/>
      <c r="I136" s="1379"/>
      <c r="J136" s="1400" t="s">
        <v>346</v>
      </c>
      <c r="K136" s="1401"/>
      <c r="L136" s="1401"/>
      <c r="M136" s="1402"/>
      <c r="N136" s="1429">
        <f>IF(ISERROR(S136*W136),0,ROUNDUP(S136*W136,0))</f>
        <v>0</v>
      </c>
      <c r="O136" s="1430"/>
      <c r="P136" t="s">
        <v>349</v>
      </c>
      <c r="R136" t="s">
        <v>184</v>
      </c>
      <c r="S136" s="535">
        <v>0</v>
      </c>
      <c r="T136" s="361" t="s">
        <v>185</v>
      </c>
      <c r="U136" s="361"/>
      <c r="V136" s="361"/>
      <c r="W136" s="535">
        <v>1</v>
      </c>
      <c r="X136" t="s">
        <v>186</v>
      </c>
      <c r="AD136" t="s">
        <v>130</v>
      </c>
    </row>
    <row r="137" spans="2:42" ht="19.5" customHeight="1" thickTop="1" thickBot="1">
      <c r="B137" s="1380"/>
      <c r="C137" s="1381"/>
      <c r="D137" s="1381"/>
      <c r="E137" s="1381"/>
      <c r="F137" s="1381"/>
      <c r="G137" s="1381"/>
      <c r="H137" s="1381"/>
      <c r="I137" s="1382"/>
      <c r="J137" s="1397" t="s">
        <v>347</v>
      </c>
      <c r="K137" s="1398"/>
      <c r="L137" s="1398"/>
      <c r="M137" s="1399"/>
      <c r="N137" s="1431">
        <f>IF(ISERROR(S137*(12/V137)),0,ROUNDUP(S137*(12/V137),0))</f>
        <v>0</v>
      </c>
      <c r="O137" s="1432"/>
      <c r="P137" t="s">
        <v>349</v>
      </c>
      <c r="R137" t="s">
        <v>184</v>
      </c>
      <c r="S137" s="535">
        <v>0</v>
      </c>
      <c r="T137" t="s">
        <v>187</v>
      </c>
      <c r="V137" s="535">
        <v>1</v>
      </c>
      <c r="W137" t="s">
        <v>188</v>
      </c>
      <c r="Y137" s="38"/>
      <c r="AD137" t="s">
        <v>131</v>
      </c>
    </row>
    <row r="138" spans="2:42" ht="19.5" customHeight="1" thickTop="1" thickBot="1">
      <c r="B138" s="793" t="s">
        <v>364</v>
      </c>
      <c r="C138" s="794"/>
      <c r="D138" s="794"/>
      <c r="E138" s="794"/>
      <c r="F138" s="794"/>
      <c r="G138" s="794"/>
      <c r="H138" s="794"/>
      <c r="I138" s="1385"/>
      <c r="J138" s="1320" t="s">
        <v>348</v>
      </c>
      <c r="K138" s="1321"/>
      <c r="L138" s="1321"/>
      <c r="M138" s="1322"/>
      <c r="N138" s="1403">
        <f>IF(ISERROR(S138*(360/V138)*(Y138/8)),0,ROUNDUP(S138*(360/V138)*(Y138/8),0))</f>
        <v>0</v>
      </c>
      <c r="O138" s="1404"/>
      <c r="P138" t="s">
        <v>349</v>
      </c>
      <c r="R138" t="s">
        <v>184</v>
      </c>
      <c r="S138" s="535">
        <v>0</v>
      </c>
      <c r="T138" t="s">
        <v>187</v>
      </c>
      <c r="V138" s="536">
        <v>30</v>
      </c>
      <c r="W138" t="s">
        <v>189</v>
      </c>
      <c r="Y138" s="535">
        <v>1</v>
      </c>
      <c r="Z138" t="s">
        <v>190</v>
      </c>
      <c r="AD138" t="s">
        <v>191</v>
      </c>
    </row>
    <row r="139" spans="2:42" ht="19.5" customHeight="1" thickTop="1" thickBot="1">
      <c r="B139" s="793" t="s">
        <v>365</v>
      </c>
      <c r="C139" s="794"/>
      <c r="D139" s="794"/>
      <c r="E139" s="794"/>
      <c r="F139" s="794"/>
      <c r="G139" s="794"/>
      <c r="H139" s="794"/>
      <c r="I139" s="1385"/>
      <c r="J139" s="1320" t="s">
        <v>348</v>
      </c>
      <c r="K139" s="1321"/>
      <c r="L139" s="1321"/>
      <c r="M139" s="1322"/>
      <c r="N139" s="1403">
        <f>IF(ISERROR(S139*(360/V139)*(Y139/8)),0,ROUNDUP(S139*(360/V139)*(Y139/8),0))</f>
        <v>0</v>
      </c>
      <c r="O139" s="1404"/>
      <c r="P139" t="s">
        <v>349</v>
      </c>
      <c r="R139" t="s">
        <v>184</v>
      </c>
      <c r="S139" s="535">
        <v>0</v>
      </c>
      <c r="T139" t="s">
        <v>187</v>
      </c>
      <c r="V139" s="536">
        <v>30</v>
      </c>
      <c r="W139" t="s">
        <v>189</v>
      </c>
      <c r="Y139" s="535">
        <v>1</v>
      </c>
      <c r="Z139" t="s">
        <v>190</v>
      </c>
      <c r="AD139" t="s">
        <v>192</v>
      </c>
    </row>
  </sheetData>
  <sheetProtection password="CF68" sheet="1" objects="1" scenarios="1"/>
  <mergeCells count="330">
    <mergeCell ref="AK87:AQ87"/>
    <mergeCell ref="AE89:AJ89"/>
    <mergeCell ref="AK89:AQ89"/>
    <mergeCell ref="AK81:AQ81"/>
    <mergeCell ref="AE64:AJ64"/>
    <mergeCell ref="AK64:AQ64"/>
    <mergeCell ref="AE65:AJ65"/>
    <mergeCell ref="AK65:AQ65"/>
    <mergeCell ref="AE78:AJ78"/>
    <mergeCell ref="AK78:AQ78"/>
    <mergeCell ref="AK53:AQ53"/>
    <mergeCell ref="AE55:AJ55"/>
    <mergeCell ref="AK55:AQ55"/>
    <mergeCell ref="AE57:AJ57"/>
    <mergeCell ref="AK57:AQ57"/>
    <mergeCell ref="AE53:AJ53"/>
    <mergeCell ref="AD132:AI132"/>
    <mergeCell ref="AJ132:AP132"/>
    <mergeCell ref="AE91:AJ91"/>
    <mergeCell ref="AK91:AQ91"/>
    <mergeCell ref="AE98:AJ98"/>
    <mergeCell ref="AK98:AQ98"/>
    <mergeCell ref="AE99:AJ99"/>
    <mergeCell ref="AK99:AQ99"/>
    <mergeCell ref="B44:H47"/>
    <mergeCell ref="I44:P45"/>
    <mergeCell ref="Q44:V44"/>
    <mergeCell ref="W44:AC44"/>
    <mergeCell ref="Q45:V45"/>
    <mergeCell ref="W45:AC45"/>
    <mergeCell ref="I46:P47"/>
    <mergeCell ref="Q46:V46"/>
    <mergeCell ref="AE81:AJ81"/>
    <mergeCell ref="I92:P94"/>
    <mergeCell ref="B92:H94"/>
    <mergeCell ref="W92:AC92"/>
    <mergeCell ref="W91:AC91"/>
    <mergeCell ref="Q82:V82"/>
    <mergeCell ref="W81:AC81"/>
    <mergeCell ref="AE87:AJ87"/>
    <mergeCell ref="Q94:V94"/>
    <mergeCell ref="Q92:V92"/>
    <mergeCell ref="B131:P132"/>
    <mergeCell ref="Q131:V131"/>
    <mergeCell ref="W131:AC131"/>
    <mergeCell ref="Q132:V132"/>
    <mergeCell ref="W132:AC132"/>
    <mergeCell ref="B97:P98"/>
    <mergeCell ref="Q97:V97"/>
    <mergeCell ref="W97:AC97"/>
    <mergeCell ref="J102:M102"/>
    <mergeCell ref="N102:O102"/>
    <mergeCell ref="B138:I138"/>
    <mergeCell ref="J138:M138"/>
    <mergeCell ref="N138:O138"/>
    <mergeCell ref="B139:I139"/>
    <mergeCell ref="J139:M139"/>
    <mergeCell ref="N139:O139"/>
    <mergeCell ref="B135:I135"/>
    <mergeCell ref="J135:M135"/>
    <mergeCell ref="N135:O135"/>
    <mergeCell ref="B136:I137"/>
    <mergeCell ref="J136:M136"/>
    <mergeCell ref="N136:O136"/>
    <mergeCell ref="J137:M137"/>
    <mergeCell ref="N137:O137"/>
    <mergeCell ref="N104:O104"/>
    <mergeCell ref="N103:O103"/>
    <mergeCell ref="B71:I71"/>
    <mergeCell ref="J71:M71"/>
    <mergeCell ref="N71:O71"/>
    <mergeCell ref="B76:H81"/>
    <mergeCell ref="B105:I105"/>
    <mergeCell ref="J105:M105"/>
    <mergeCell ref="N105:O105"/>
    <mergeCell ref="B101:I101"/>
    <mergeCell ref="J101:M101"/>
    <mergeCell ref="N101:O101"/>
    <mergeCell ref="B102:I103"/>
    <mergeCell ref="J103:M103"/>
    <mergeCell ref="B104:I104"/>
    <mergeCell ref="J104:M104"/>
    <mergeCell ref="J68:M68"/>
    <mergeCell ref="N68:O68"/>
    <mergeCell ref="J69:M69"/>
    <mergeCell ref="N69:O69"/>
    <mergeCell ref="B70:I70"/>
    <mergeCell ref="J70:M70"/>
    <mergeCell ref="N70:O70"/>
    <mergeCell ref="W128:AC128"/>
    <mergeCell ref="I126:P128"/>
    <mergeCell ref="B126:H128"/>
    <mergeCell ref="Q126:V126"/>
    <mergeCell ref="Q127:V127"/>
    <mergeCell ref="W127:AC127"/>
    <mergeCell ref="W126:AC126"/>
    <mergeCell ref="Q128:V128"/>
    <mergeCell ref="W113:AC113"/>
    <mergeCell ref="Q113:V113"/>
    <mergeCell ref="Q110:V110"/>
    <mergeCell ref="W93:AC93"/>
    <mergeCell ref="Q111:V111"/>
    <mergeCell ref="W111:AC111"/>
    <mergeCell ref="Q93:V93"/>
    <mergeCell ref="W94:AC94"/>
    <mergeCell ref="Q98:V98"/>
    <mergeCell ref="W98:AC98"/>
    <mergeCell ref="I26:P28"/>
    <mergeCell ref="B26:H28"/>
    <mergeCell ref="Q28:V28"/>
    <mergeCell ref="W28:AC28"/>
    <mergeCell ref="W27:AC27"/>
    <mergeCell ref="W26:AC26"/>
    <mergeCell ref="Q26:V26"/>
    <mergeCell ref="Q27:V27"/>
    <mergeCell ref="Q54:V54"/>
    <mergeCell ref="Q62:V62"/>
    <mergeCell ref="Q91:V91"/>
    <mergeCell ref="Q84:V84"/>
    <mergeCell ref="I88:P89"/>
    <mergeCell ref="B63:P64"/>
    <mergeCell ref="Q63:V63"/>
    <mergeCell ref="Q56:V56"/>
    <mergeCell ref="Q58:V58"/>
    <mergeCell ref="B68:I69"/>
    <mergeCell ref="Q57:V57"/>
    <mergeCell ref="I58:P60"/>
    <mergeCell ref="B58:H60"/>
    <mergeCell ref="B39:I39"/>
    <mergeCell ref="W54:AC54"/>
    <mergeCell ref="Q55:V55"/>
    <mergeCell ref="W55:AC55"/>
    <mergeCell ref="J39:M39"/>
    <mergeCell ref="N39:O39"/>
    <mergeCell ref="I54:P55"/>
    <mergeCell ref="W52:AC52"/>
    <mergeCell ref="W50:AC50"/>
    <mergeCell ref="Q52:V52"/>
    <mergeCell ref="B129:H130"/>
    <mergeCell ref="I129:P130"/>
    <mergeCell ref="Q129:V129"/>
    <mergeCell ref="Q61:V61"/>
    <mergeCell ref="B61:H62"/>
    <mergeCell ref="I61:P62"/>
    <mergeCell ref="Q59:V59"/>
    <mergeCell ref="B67:I67"/>
    <mergeCell ref="J67:M67"/>
    <mergeCell ref="N67:O67"/>
    <mergeCell ref="W129:AC129"/>
    <mergeCell ref="Q130:V130"/>
    <mergeCell ref="W130:AC130"/>
    <mergeCell ref="B95:H96"/>
    <mergeCell ref="I95:P96"/>
    <mergeCell ref="Q95:V95"/>
    <mergeCell ref="W95:AC95"/>
    <mergeCell ref="Q96:V96"/>
    <mergeCell ref="W96:AC96"/>
    <mergeCell ref="B116:H119"/>
    <mergeCell ref="J38:M38"/>
    <mergeCell ref="N36:O36"/>
    <mergeCell ref="N37:O37"/>
    <mergeCell ref="N38:O38"/>
    <mergeCell ref="J37:M37"/>
    <mergeCell ref="J36:M36"/>
    <mergeCell ref="B38:I38"/>
    <mergeCell ref="B36:I37"/>
    <mergeCell ref="W29:AC29"/>
    <mergeCell ref="Q30:V30"/>
    <mergeCell ref="W30:AC30"/>
    <mergeCell ref="J35:M35"/>
    <mergeCell ref="N35:O35"/>
    <mergeCell ref="B35:I35"/>
    <mergeCell ref="B31:P32"/>
    <mergeCell ref="Q31:V31"/>
    <mergeCell ref="Q32:V32"/>
    <mergeCell ref="I12:P13"/>
    <mergeCell ref="W12:AC12"/>
    <mergeCell ref="W13:AC13"/>
    <mergeCell ref="W16:AC16"/>
    <mergeCell ref="W17:AC17"/>
    <mergeCell ref="Q12:V12"/>
    <mergeCell ref="Q13:V13"/>
    <mergeCell ref="Q14:V14"/>
    <mergeCell ref="Q17:V17"/>
    <mergeCell ref="I20:P21"/>
    <mergeCell ref="I18:P19"/>
    <mergeCell ref="W14:AC14"/>
    <mergeCell ref="W15:AC15"/>
    <mergeCell ref="W21:AC21"/>
    <mergeCell ref="I16:P17"/>
    <mergeCell ref="I14:P15"/>
    <mergeCell ref="W20:AC20"/>
    <mergeCell ref="W19:AC19"/>
    <mergeCell ref="Q16:V16"/>
    <mergeCell ref="W22:AC22"/>
    <mergeCell ref="W23:AC23"/>
    <mergeCell ref="W25:AC25"/>
    <mergeCell ref="W24:AC24"/>
    <mergeCell ref="B2:AN2"/>
    <mergeCell ref="B20:H25"/>
    <mergeCell ref="B16:H19"/>
    <mergeCell ref="B12:H15"/>
    <mergeCell ref="I24:P25"/>
    <mergeCell ref="W18:AC18"/>
    <mergeCell ref="Q18:V18"/>
    <mergeCell ref="Q19:V19"/>
    <mergeCell ref="Q15:V15"/>
    <mergeCell ref="B29:H30"/>
    <mergeCell ref="I29:P30"/>
    <mergeCell ref="Q29:V29"/>
    <mergeCell ref="Q20:V20"/>
    <mergeCell ref="Q21:V21"/>
    <mergeCell ref="Q24:V24"/>
    <mergeCell ref="Q25:V25"/>
    <mergeCell ref="I22:P23"/>
    <mergeCell ref="Q22:V22"/>
    <mergeCell ref="Q23:V23"/>
    <mergeCell ref="B48:H51"/>
    <mergeCell ref="I48:P49"/>
    <mergeCell ref="Q48:V48"/>
    <mergeCell ref="I50:P51"/>
    <mergeCell ref="Q50:V50"/>
    <mergeCell ref="Q51:V51"/>
    <mergeCell ref="Q49:V49"/>
    <mergeCell ref="W32:AC32"/>
    <mergeCell ref="W31:AC31"/>
    <mergeCell ref="W49:AC49"/>
    <mergeCell ref="W47:AC47"/>
    <mergeCell ref="W46:AC46"/>
    <mergeCell ref="Q47:V47"/>
    <mergeCell ref="W48:AC48"/>
    <mergeCell ref="W51:AC51"/>
    <mergeCell ref="W56:AC56"/>
    <mergeCell ref="W57:AC57"/>
    <mergeCell ref="W76:AC76"/>
    <mergeCell ref="W61:AC61"/>
    <mergeCell ref="W60:AC60"/>
    <mergeCell ref="W62:AC62"/>
    <mergeCell ref="W58:AC58"/>
    <mergeCell ref="W63:AC63"/>
    <mergeCell ref="W64:AC64"/>
    <mergeCell ref="Q60:V60"/>
    <mergeCell ref="W85:AC85"/>
    <mergeCell ref="W84:AC84"/>
    <mergeCell ref="Q85:V85"/>
    <mergeCell ref="W77:AC77"/>
    <mergeCell ref="W78:AC78"/>
    <mergeCell ref="W80:AC80"/>
    <mergeCell ref="W79:AC79"/>
    <mergeCell ref="Q64:V64"/>
    <mergeCell ref="Q76:V76"/>
    <mergeCell ref="Q87:V87"/>
    <mergeCell ref="W87:AC87"/>
    <mergeCell ref="Q90:V90"/>
    <mergeCell ref="Q77:V77"/>
    <mergeCell ref="Q78:V78"/>
    <mergeCell ref="Q79:V79"/>
    <mergeCell ref="Q80:V80"/>
    <mergeCell ref="Q81:V81"/>
    <mergeCell ref="W82:AC82"/>
    <mergeCell ref="Q117:V117"/>
    <mergeCell ref="Q119:V119"/>
    <mergeCell ref="W119:AC119"/>
    <mergeCell ref="Q83:V83"/>
    <mergeCell ref="W83:AC83"/>
    <mergeCell ref="W90:AC90"/>
    <mergeCell ref="Q88:V88"/>
    <mergeCell ref="W88:AC88"/>
    <mergeCell ref="Q89:V89"/>
    <mergeCell ref="W89:AC89"/>
    <mergeCell ref="B120:H125"/>
    <mergeCell ref="I120:P121"/>
    <mergeCell ref="Q120:V120"/>
    <mergeCell ref="Q123:V123"/>
    <mergeCell ref="I122:P123"/>
    <mergeCell ref="Q122:V122"/>
    <mergeCell ref="Q124:V124"/>
    <mergeCell ref="I124:P125"/>
    <mergeCell ref="Q125:V125"/>
    <mergeCell ref="Q121:V121"/>
    <mergeCell ref="B3:AC3"/>
    <mergeCell ref="B9:AC9"/>
    <mergeCell ref="B41:AC41"/>
    <mergeCell ref="B73:AC73"/>
    <mergeCell ref="I5:J5"/>
    <mergeCell ref="B5:H5"/>
    <mergeCell ref="W59:AC59"/>
    <mergeCell ref="B52:H57"/>
    <mergeCell ref="Q53:V53"/>
    <mergeCell ref="W53:AC53"/>
    <mergeCell ref="I52:P53"/>
    <mergeCell ref="I56:P57"/>
    <mergeCell ref="B110:H115"/>
    <mergeCell ref="I110:P112"/>
    <mergeCell ref="I90:P91"/>
    <mergeCell ref="B82:H85"/>
    <mergeCell ref="I82:P83"/>
    <mergeCell ref="I84:P85"/>
    <mergeCell ref="I79:P81"/>
    <mergeCell ref="I76:P78"/>
    <mergeCell ref="W125:AC125"/>
    <mergeCell ref="W123:AC123"/>
    <mergeCell ref="I116:P117"/>
    <mergeCell ref="I113:P115"/>
    <mergeCell ref="B107:AC107"/>
    <mergeCell ref="Q118:V118"/>
    <mergeCell ref="Q116:V116"/>
    <mergeCell ref="W116:AC116"/>
    <mergeCell ref="Q112:V112"/>
    <mergeCell ref="W112:AC112"/>
    <mergeCell ref="I118:P119"/>
    <mergeCell ref="W122:AC122"/>
    <mergeCell ref="W124:AC124"/>
    <mergeCell ref="W110:AC110"/>
    <mergeCell ref="W114:AC114"/>
    <mergeCell ref="Q114:V114"/>
    <mergeCell ref="W118:AC118"/>
    <mergeCell ref="Q115:V115"/>
    <mergeCell ref="W115:AC115"/>
    <mergeCell ref="W117:AC117"/>
    <mergeCell ref="B4:H4"/>
    <mergeCell ref="I4:J4"/>
    <mergeCell ref="P5:V5"/>
    <mergeCell ref="W5:X5"/>
    <mergeCell ref="W120:AC120"/>
    <mergeCell ref="W121:AC121"/>
    <mergeCell ref="B86:H91"/>
    <mergeCell ref="I86:P87"/>
    <mergeCell ref="Q86:V86"/>
    <mergeCell ref="W86:AC86"/>
  </mergeCells>
  <phoneticPr fontId="2"/>
  <pageMargins left="0.75" right="0.75" top="1" bottom="1" header="0.51200000000000001" footer="0.51200000000000001"/>
  <pageSetup paperSize="9" scale="69" fitToHeight="2" orientation="portrait" r:id="rId1"/>
  <headerFooter alignWithMargins="0"/>
  <rowBreaks count="1" manualBreakCount="1">
    <brk id="72" max="16383" man="1"/>
  </rowBreaks>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3" enableFormatConditionsCalculation="0">
    <tabColor indexed="18"/>
  </sheetPr>
  <dimension ref="A1:S439"/>
  <sheetViews>
    <sheetView showGridLines="0" topLeftCell="A8" zoomScale="50" zoomScaleNormal="50" zoomScaleSheetLayoutView="55" workbookViewId="0">
      <pane ySplit="1515" topLeftCell="A207"/>
      <selection activeCell="I6" sqref="I6"/>
      <selection pane="bottomLeft" activeCell="W231" sqref="W231"/>
    </sheetView>
  </sheetViews>
  <sheetFormatPr defaultRowHeight="13.5"/>
  <cols>
    <col min="1" max="1" width="1.75" customWidth="1"/>
    <col min="2" max="18" width="12.625" customWidth="1"/>
    <col min="19" max="19" width="5.625" customWidth="1"/>
  </cols>
  <sheetData>
    <row r="1" spans="2:17" hidden="1">
      <c r="B1" t="s">
        <v>306</v>
      </c>
      <c r="C1" s="367">
        <v>0.8</v>
      </c>
      <c r="D1" t="s">
        <v>307</v>
      </c>
      <c r="E1" s="323">
        <v>1.3</v>
      </c>
    </row>
    <row r="3" spans="2:17" ht="17.25" hidden="1">
      <c r="G3" s="489">
        <v>1</v>
      </c>
      <c r="H3" s="489">
        <f>G3-0.03</f>
        <v>0.97</v>
      </c>
      <c r="I3" s="489">
        <f t="shared" ref="I3:Q3" si="0">H3-0.03</f>
        <v>0.94</v>
      </c>
      <c r="J3" s="489">
        <f t="shared" si="0"/>
        <v>0.90999999999999992</v>
      </c>
      <c r="K3" s="489">
        <f t="shared" si="0"/>
        <v>0.87999999999999989</v>
      </c>
      <c r="L3" s="489">
        <f t="shared" si="0"/>
        <v>0.84999999999999987</v>
      </c>
      <c r="M3" s="489">
        <f t="shared" si="0"/>
        <v>0.81999999999999984</v>
      </c>
      <c r="N3" s="489">
        <f t="shared" si="0"/>
        <v>0.78999999999999981</v>
      </c>
      <c r="O3" s="489">
        <f t="shared" si="0"/>
        <v>0.75999999999999979</v>
      </c>
      <c r="P3" s="489">
        <f t="shared" si="0"/>
        <v>0.72999999999999976</v>
      </c>
      <c r="Q3" s="489">
        <f t="shared" si="0"/>
        <v>0.69999999999999973</v>
      </c>
    </row>
    <row r="4" spans="2:17" ht="19.5" thickBot="1">
      <c r="C4" s="435" t="s">
        <v>271</v>
      </c>
    </row>
    <row r="5" spans="2:17" ht="24.95" customHeight="1" thickBot="1">
      <c r="D5" s="1471" t="s">
        <v>270</v>
      </c>
      <c r="E5" s="1472"/>
      <c r="F5" s="1473"/>
      <c r="G5" s="436" t="s">
        <v>313</v>
      </c>
      <c r="H5" s="437" t="s">
        <v>236</v>
      </c>
      <c r="I5" s="437" t="s">
        <v>237</v>
      </c>
      <c r="J5" s="437" t="s">
        <v>238</v>
      </c>
      <c r="K5" s="437" t="s">
        <v>239</v>
      </c>
      <c r="L5" s="437" t="s">
        <v>240</v>
      </c>
      <c r="M5" s="437" t="s">
        <v>241</v>
      </c>
      <c r="N5" s="437" t="s">
        <v>242</v>
      </c>
      <c r="O5" s="437" t="s">
        <v>243</v>
      </c>
      <c r="P5" s="437" t="s">
        <v>244</v>
      </c>
      <c r="Q5" s="438" t="s">
        <v>245</v>
      </c>
    </row>
    <row r="6" spans="2:17" ht="41.25" customHeight="1">
      <c r="D6" s="1474" t="s">
        <v>273</v>
      </c>
      <c r="E6" s="1475"/>
      <c r="F6" s="1476"/>
      <c r="G6" s="440">
        <v>1</v>
      </c>
      <c r="H6" s="441">
        <v>1</v>
      </c>
      <c r="I6" s="441">
        <v>1</v>
      </c>
      <c r="J6" s="441">
        <v>1</v>
      </c>
      <c r="K6" s="441">
        <v>1</v>
      </c>
      <c r="L6" s="441">
        <v>1</v>
      </c>
      <c r="M6" s="441">
        <v>1</v>
      </c>
      <c r="N6" s="441">
        <v>1</v>
      </c>
      <c r="O6" s="441">
        <v>1</v>
      </c>
      <c r="P6" s="441">
        <v>1</v>
      </c>
      <c r="Q6" s="442">
        <v>1</v>
      </c>
    </row>
    <row r="7" spans="2:17" ht="24.95" customHeight="1">
      <c r="D7" s="490" t="s">
        <v>796</v>
      </c>
      <c r="E7" s="491"/>
      <c r="F7" s="494"/>
      <c r="G7" s="443">
        <v>0</v>
      </c>
      <c r="H7" s="444">
        <v>0</v>
      </c>
      <c r="I7" s="444">
        <v>0.31</v>
      </c>
      <c r="J7" s="444">
        <v>0.4</v>
      </c>
      <c r="K7" s="444">
        <v>0.5</v>
      </c>
      <c r="L7" s="444">
        <v>0.6</v>
      </c>
      <c r="M7" s="444">
        <v>0.6</v>
      </c>
      <c r="N7" s="444">
        <v>0.6</v>
      </c>
      <c r="O7" s="444">
        <v>0.6</v>
      </c>
      <c r="P7" s="444">
        <v>0.6</v>
      </c>
      <c r="Q7" s="445">
        <v>0.6</v>
      </c>
    </row>
    <row r="8" spans="2:17" ht="24.95" customHeight="1" thickBot="1">
      <c r="D8" s="492" t="s">
        <v>797</v>
      </c>
      <c r="E8" s="493"/>
      <c r="F8" s="495"/>
      <c r="G8" s="446">
        <v>0</v>
      </c>
      <c r="H8" s="447">
        <v>0</v>
      </c>
      <c r="I8" s="447">
        <v>0</v>
      </c>
      <c r="J8" s="447">
        <v>0</v>
      </c>
      <c r="K8" s="447">
        <v>0</v>
      </c>
      <c r="L8" s="447">
        <v>0</v>
      </c>
      <c r="M8" s="447">
        <v>0</v>
      </c>
      <c r="N8" s="447">
        <v>0</v>
      </c>
      <c r="O8" s="447">
        <v>0</v>
      </c>
      <c r="P8" s="447">
        <v>0</v>
      </c>
      <c r="Q8" s="448">
        <v>0</v>
      </c>
    </row>
    <row r="108" spans="2:10" ht="24">
      <c r="B108" s="369" t="s">
        <v>624</v>
      </c>
      <c r="C108" s="368"/>
    </row>
    <row r="109" spans="2:10" ht="24">
      <c r="B109" s="369"/>
      <c r="C109" s="368"/>
    </row>
    <row r="110" spans="2:10" ht="20.100000000000001" customHeight="1">
      <c r="B110" s="482" t="s">
        <v>404</v>
      </c>
      <c r="C110" s="482"/>
      <c r="D110" s="482"/>
      <c r="E110" s="482"/>
      <c r="F110" s="435"/>
      <c r="G110" s="482" t="s">
        <v>321</v>
      </c>
      <c r="H110" s="482"/>
      <c r="I110" s="482"/>
      <c r="J110" s="482"/>
    </row>
    <row r="111" spans="2:10" ht="20.100000000000001" customHeight="1">
      <c r="B111" s="1456" t="s">
        <v>396</v>
      </c>
      <c r="C111" s="1457"/>
      <c r="D111" s="476" t="s">
        <v>397</v>
      </c>
      <c r="E111" s="477"/>
      <c r="G111" s="1459" t="s">
        <v>314</v>
      </c>
      <c r="H111" s="1459"/>
      <c r="I111" s="1460">
        <f>投資情報!$I$5+1</f>
        <v>2</v>
      </c>
      <c r="J111" s="1461"/>
    </row>
    <row r="112" spans="2:10" ht="20.100000000000001" customHeight="1">
      <c r="B112" s="1456" t="s">
        <v>394</v>
      </c>
      <c r="C112" s="1457"/>
      <c r="D112" s="478"/>
      <c r="E112" s="479" t="s">
        <v>352</v>
      </c>
      <c r="G112" s="1459" t="s">
        <v>315</v>
      </c>
      <c r="H112" s="1459"/>
      <c r="I112" s="1460">
        <f>投資情報!$W$5+1</f>
        <v>9</v>
      </c>
      <c r="J112" s="1461"/>
    </row>
    <row r="113" spans="2:18" ht="20.100000000000001" customHeight="1">
      <c r="B113" s="1477" t="s">
        <v>402</v>
      </c>
      <c r="C113" s="1478"/>
      <c r="D113" s="476" t="s">
        <v>403</v>
      </c>
      <c r="E113" s="477"/>
    </row>
    <row r="114" spans="2:18" s="128" customFormat="1" ht="20.100000000000001" customHeight="1">
      <c r="B114" s="480" t="s">
        <v>789</v>
      </c>
      <c r="C114" s="480"/>
      <c r="D114" s="481">
        <f>'&lt;参考&gt;●現在の業務の総コスト'!$G$6</f>
        <v>7200</v>
      </c>
      <c r="E114" s="479" t="s">
        <v>399</v>
      </c>
      <c r="G114" s="482" t="s">
        <v>726</v>
      </c>
      <c r="L114" s="482" t="s">
        <v>308</v>
      </c>
    </row>
    <row r="115" spans="2:18" s="365" customFormat="1" ht="20.100000000000001" customHeight="1">
      <c r="B115" s="480" t="s">
        <v>398</v>
      </c>
      <c r="C115" s="480"/>
      <c r="D115" s="481">
        <f>'&lt;参考&gt;●現在の業務の総コスト'!$G$5</f>
        <v>2400</v>
      </c>
      <c r="E115" s="479" t="s">
        <v>399</v>
      </c>
      <c r="G115" s="1465"/>
      <c r="H115" s="1448" t="s">
        <v>279</v>
      </c>
      <c r="I115" s="1448" t="s">
        <v>401</v>
      </c>
      <c r="L115" s="1456" t="s">
        <v>405</v>
      </c>
      <c r="M115" s="1457"/>
      <c r="N115" s="1462" t="str">
        <f>B108</f>
        <v>自社構築タイプ</v>
      </c>
      <c r="O115" s="1463"/>
      <c r="P115" s="1463"/>
      <c r="Q115" s="1464"/>
      <c r="R115"/>
    </row>
    <row r="116" spans="2:18" s="365" customFormat="1" ht="20.100000000000001" customHeight="1">
      <c r="B116" s="480" t="s">
        <v>34</v>
      </c>
      <c r="C116" s="480"/>
      <c r="D116" s="481">
        <f>'&lt;参考&gt;●現在の業務の総コスト'!$O$6</f>
        <v>0</v>
      </c>
      <c r="E116" s="479" t="s">
        <v>399</v>
      </c>
      <c r="G116" s="1466"/>
      <c r="H116" s="1467"/>
      <c r="I116" s="1467"/>
      <c r="L116" s="1456" t="s">
        <v>277</v>
      </c>
      <c r="M116" s="1457"/>
      <c r="N116" s="1468" t="e">
        <f ca="1">TEXT(ROUNDDOWN((投資情報!W31*$C$1),-LOG(投資情報!W31)+1),"\#,##0;\-#,##0")&amp;" ～ "&amp;TEXT(ROUNDUP((投資情報!W31*$E$1),-LOG(投資情報!W31)+1),"\#,##0;\-#,##0")</f>
        <v>#NUM!</v>
      </c>
      <c r="O116" s="1469"/>
      <c r="P116" s="1469"/>
      <c r="Q116" s="1470"/>
      <c r="R116"/>
    </row>
    <row r="117" spans="2:18" s="365" customFormat="1" ht="20.100000000000001" customHeight="1">
      <c r="G117" s="474">
        <f>目標電子化率!$C$11</f>
        <v>1</v>
      </c>
      <c r="H117" s="475">
        <f>目標電子化率!$M$13</f>
        <v>0.2</v>
      </c>
      <c r="I117" s="475">
        <f>目標電子化率!$M$14</f>
        <v>0</v>
      </c>
      <c r="L117" s="1456" t="s">
        <v>278</v>
      </c>
      <c r="M117" s="1457"/>
      <c r="N117" s="1468" t="e">
        <f ca="1">TEXT(ROUNDDOWN((投資情報!W32/12*$C$1),-LOG(投資情報!W32/12)+1),"\#,##0;\-#,##0")&amp;" ～ "&amp;TEXT(ROUNDUP((投資情報!W32/12*$E$1),-LOG(投資情報!W32/12)+1),"\#,##0;\-#,##0")</f>
        <v>#NUM!</v>
      </c>
      <c r="O117" s="1469"/>
      <c r="P117" s="1469"/>
      <c r="Q117" s="1470"/>
      <c r="R117"/>
    </row>
    <row r="118" spans="2:18" s="365" customFormat="1" ht="20.100000000000001" customHeight="1">
      <c r="F118" s="128"/>
      <c r="G118" s="474">
        <f>目標電子化率!$C$16</f>
        <v>3</v>
      </c>
      <c r="H118" s="475">
        <f>目標電子化率!$M$18</f>
        <v>0.4</v>
      </c>
      <c r="I118" s="475">
        <f>目標電子化率!$M$19</f>
        <v>0</v>
      </c>
      <c r="L118" s="1456" t="s">
        <v>395</v>
      </c>
      <c r="M118" s="1457"/>
      <c r="N118" s="1530" t="str">
        <f>"ハードウェア "&amp;投資情報!$I$4&amp;" 年毎更新"</f>
        <v>ハードウェア 5 年毎更新</v>
      </c>
      <c r="O118" s="1531"/>
      <c r="P118" s="1531"/>
      <c r="Q118" s="1532"/>
      <c r="R118"/>
    </row>
    <row r="119" spans="2:18" s="365" customFormat="1" ht="20.100000000000001" customHeight="1">
      <c r="G119" s="474">
        <f>目標電子化率!$C$21</f>
        <v>5</v>
      </c>
      <c r="H119" s="475">
        <f>目標電子化率!$M$23</f>
        <v>0.6</v>
      </c>
      <c r="I119" s="475">
        <f>目標電子化率!$M$24</f>
        <v>0</v>
      </c>
      <c r="J119"/>
      <c r="L119"/>
      <c r="M119"/>
      <c r="N119"/>
      <c r="O119"/>
      <c r="P119"/>
      <c r="Q119"/>
      <c r="R119"/>
    </row>
    <row r="120" spans="2:18" ht="20.100000000000001" customHeight="1">
      <c r="L120" s="482" t="s">
        <v>317</v>
      </c>
      <c r="M120" s="365"/>
      <c r="N120" s="366"/>
      <c r="O120" s="366"/>
      <c r="P120" s="366"/>
    </row>
    <row r="121" spans="2:18" ht="20.100000000000001" customHeight="1">
      <c r="L121" s="1456" t="s">
        <v>309</v>
      </c>
      <c r="M121" s="1457"/>
      <c r="N121" s="1533">
        <f>投資情報!$N$35</f>
        <v>0</v>
      </c>
      <c r="O121" s="1534"/>
      <c r="P121" s="1534"/>
      <c r="Q121" s="1535"/>
    </row>
    <row r="122" spans="2:18" ht="20.100000000000001" customHeight="1">
      <c r="B122" s="83"/>
      <c r="C122" s="434"/>
      <c r="L122" s="1456" t="s">
        <v>310</v>
      </c>
      <c r="M122" s="1457"/>
      <c r="N122" s="1536" t="str">
        <f>投資情報!$N$36&amp;"人日／初年度 + "&amp;投資情報!$N$37&amp;"人日／年"</f>
        <v>0人日／初年度 + 0人日／年</v>
      </c>
      <c r="O122" s="1537"/>
      <c r="P122" s="1537"/>
      <c r="Q122" s="1538"/>
    </row>
    <row r="123" spans="2:18" ht="20.100000000000001" customHeight="1">
      <c r="B123" s="83"/>
      <c r="C123" s="434"/>
      <c r="G123" s="364"/>
      <c r="L123" s="1456" t="s">
        <v>311</v>
      </c>
      <c r="M123" s="1457"/>
      <c r="N123" s="1525">
        <f>投資情報!$N$38</f>
        <v>0</v>
      </c>
      <c r="O123" s="1526"/>
      <c r="P123" s="1526"/>
      <c r="Q123" s="1527"/>
    </row>
    <row r="124" spans="2:18" ht="20.100000000000001" customHeight="1">
      <c r="H124" s="364"/>
      <c r="L124" s="1456" t="s">
        <v>312</v>
      </c>
      <c r="M124" s="1457"/>
      <c r="N124" s="1525">
        <f>投資情報!$N$39</f>
        <v>0</v>
      </c>
      <c r="O124" s="1526"/>
      <c r="P124" s="1526"/>
      <c r="Q124" s="1527"/>
    </row>
    <row r="126" spans="2:18" ht="18" customHeight="1" thickBot="1">
      <c r="Q126" s="376" t="s">
        <v>808</v>
      </c>
    </row>
    <row r="127" spans="2:18" s="370" customFormat="1" ht="21.75" thickBot="1">
      <c r="D127" s="1484" t="s">
        <v>325</v>
      </c>
      <c r="E127" s="1485"/>
      <c r="F127" s="1486"/>
      <c r="G127" s="459" t="s">
        <v>313</v>
      </c>
      <c r="H127" s="460" t="s">
        <v>236</v>
      </c>
      <c r="I127" s="460" t="s">
        <v>237</v>
      </c>
      <c r="J127" s="460" t="s">
        <v>238</v>
      </c>
      <c r="K127" s="460" t="s">
        <v>239</v>
      </c>
      <c r="L127" s="460" t="s">
        <v>240</v>
      </c>
      <c r="M127" s="460" t="s">
        <v>241</v>
      </c>
      <c r="N127" s="460" t="s">
        <v>242</v>
      </c>
      <c r="O127" s="460" t="s">
        <v>243</v>
      </c>
      <c r="P127" s="460" t="s">
        <v>244</v>
      </c>
      <c r="Q127" s="461" t="s">
        <v>245</v>
      </c>
    </row>
    <row r="128" spans="2:18" s="370" customFormat="1" ht="24" customHeight="1">
      <c r="D128" s="1481" t="s">
        <v>269</v>
      </c>
      <c r="E128" s="1482"/>
      <c r="F128" s="1483"/>
      <c r="G128" s="449">
        <f>$G$6</f>
        <v>1</v>
      </c>
      <c r="H128" s="450">
        <f>$H$6</f>
        <v>1</v>
      </c>
      <c r="I128" s="450">
        <f>$I$6</f>
        <v>1</v>
      </c>
      <c r="J128" s="450">
        <f>$J$6</f>
        <v>1</v>
      </c>
      <c r="K128" s="450">
        <f>$K$6</f>
        <v>1</v>
      </c>
      <c r="L128" s="450">
        <f>$L$6</f>
        <v>1</v>
      </c>
      <c r="M128" s="450">
        <f>$M$6</f>
        <v>1</v>
      </c>
      <c r="N128" s="450">
        <f>$N$6</f>
        <v>1</v>
      </c>
      <c r="O128" s="450">
        <f>$O$6</f>
        <v>1</v>
      </c>
      <c r="P128" s="450">
        <f>$P$6</f>
        <v>1</v>
      </c>
      <c r="Q128" s="450">
        <f>$Q$6</f>
        <v>1</v>
      </c>
    </row>
    <row r="129" spans="4:19" s="370" customFormat="1" ht="24" customHeight="1">
      <c r="D129" s="1491" t="s">
        <v>274</v>
      </c>
      <c r="E129" s="1492"/>
      <c r="F129" s="1493"/>
      <c r="G129" s="451">
        <f>$G$7</f>
        <v>0</v>
      </c>
      <c r="H129" s="452">
        <f>$H$7</f>
        <v>0</v>
      </c>
      <c r="I129" s="452">
        <f>$I$7</f>
        <v>0.31</v>
      </c>
      <c r="J129" s="452">
        <f>$J$7</f>
        <v>0.4</v>
      </c>
      <c r="K129" s="452">
        <f>$K$7</f>
        <v>0.5</v>
      </c>
      <c r="L129" s="452">
        <f>$L$7</f>
        <v>0.6</v>
      </c>
      <c r="M129" s="452">
        <f>$M$7</f>
        <v>0.6</v>
      </c>
      <c r="N129" s="452">
        <f>$N$7</f>
        <v>0.6</v>
      </c>
      <c r="O129" s="452">
        <f>$O$7</f>
        <v>0.6</v>
      </c>
      <c r="P129" s="452">
        <f>$P$7</f>
        <v>0.6</v>
      </c>
      <c r="Q129" s="452">
        <f>$Q$7</f>
        <v>0.6</v>
      </c>
    </row>
    <row r="130" spans="4:19" s="370" customFormat="1" ht="24" customHeight="1" thickBot="1">
      <c r="D130" s="1495" t="s">
        <v>275</v>
      </c>
      <c r="E130" s="1496"/>
      <c r="F130" s="1497"/>
      <c r="G130" s="453">
        <f>$G$8</f>
        <v>0</v>
      </c>
      <c r="H130" s="454">
        <f>$H$8</f>
        <v>0</v>
      </c>
      <c r="I130" s="454">
        <f>$I$8</f>
        <v>0</v>
      </c>
      <c r="J130" s="454">
        <f>$J$8</f>
        <v>0</v>
      </c>
      <c r="K130" s="454">
        <f>$K$8</f>
        <v>0</v>
      </c>
      <c r="L130" s="454">
        <f>$L$8</f>
        <v>0</v>
      </c>
      <c r="M130" s="454">
        <f>$M$8</f>
        <v>0</v>
      </c>
      <c r="N130" s="454">
        <f>$N$8</f>
        <v>0</v>
      </c>
      <c r="O130" s="454">
        <f>$O$8</f>
        <v>0</v>
      </c>
      <c r="P130" s="454">
        <f>$P$8</f>
        <v>0</v>
      </c>
      <c r="Q130" s="454">
        <f>$Q$8</f>
        <v>0</v>
      </c>
    </row>
    <row r="131" spans="4:19" ht="31.5" customHeight="1" thickBot="1">
      <c r="D131" s="455" t="s">
        <v>323</v>
      </c>
      <c r="E131" s="1489" t="s">
        <v>170</v>
      </c>
      <c r="F131" s="1490"/>
      <c r="G131" s="462">
        <f t="shared" ref="G131:Q131" ca="1" si="1">G138/1000</f>
        <v>0</v>
      </c>
      <c r="H131" s="463">
        <f t="shared" ca="1" si="1"/>
        <v>0</v>
      </c>
      <c r="I131" s="463">
        <f t="shared" ca="1" si="1"/>
        <v>695.3610000000009</v>
      </c>
      <c r="J131" s="463">
        <f t="shared" ca="1" si="1"/>
        <v>897.24</v>
      </c>
      <c r="K131" s="463">
        <f t="shared" ca="1" si="1"/>
        <v>1121.55</v>
      </c>
      <c r="L131" s="463">
        <f t="shared" ca="1" si="1"/>
        <v>1345.86</v>
      </c>
      <c r="M131" s="463">
        <f t="shared" ca="1" si="1"/>
        <v>1345.86</v>
      </c>
      <c r="N131" s="463">
        <f t="shared" ca="1" si="1"/>
        <v>1345.86</v>
      </c>
      <c r="O131" s="463">
        <f t="shared" ca="1" si="1"/>
        <v>1345.86</v>
      </c>
      <c r="P131" s="463">
        <f t="shared" ca="1" si="1"/>
        <v>1345.86</v>
      </c>
      <c r="Q131" s="464">
        <f t="shared" ca="1" si="1"/>
        <v>1345.86</v>
      </c>
      <c r="S131" s="364"/>
    </row>
    <row r="132" spans="4:19" ht="31.5" customHeight="1">
      <c r="D132" s="456" t="s">
        <v>324</v>
      </c>
      <c r="E132" s="1487" t="s">
        <v>322</v>
      </c>
      <c r="F132" s="1488"/>
      <c r="G132" s="465">
        <f t="shared" ref="G132:Q132" si="2">G142/1000</f>
        <v>0</v>
      </c>
      <c r="H132" s="466">
        <f t="shared" si="2"/>
        <v>0</v>
      </c>
      <c r="I132" s="466">
        <f t="shared" si="2"/>
        <v>0</v>
      </c>
      <c r="J132" s="466">
        <f t="shared" si="2"/>
        <v>0</v>
      </c>
      <c r="K132" s="466">
        <f t="shared" si="2"/>
        <v>0</v>
      </c>
      <c r="L132" s="466">
        <f t="shared" si="2"/>
        <v>0</v>
      </c>
      <c r="M132" s="466">
        <f t="shared" si="2"/>
        <v>0</v>
      </c>
      <c r="N132" s="466">
        <f t="shared" si="2"/>
        <v>0</v>
      </c>
      <c r="O132" s="466">
        <f t="shared" si="2"/>
        <v>0</v>
      </c>
      <c r="P132" s="466">
        <f t="shared" si="2"/>
        <v>0</v>
      </c>
      <c r="Q132" s="467">
        <f t="shared" si="2"/>
        <v>0</v>
      </c>
      <c r="S132" s="364"/>
    </row>
    <row r="133" spans="4:19" ht="31.5" customHeight="1">
      <c r="D133" s="457"/>
      <c r="E133" s="1519" t="s">
        <v>316</v>
      </c>
      <c r="F133" s="1520"/>
      <c r="G133" s="468">
        <f t="shared" ref="G133:Q133" si="3">G141/1000</f>
        <v>0</v>
      </c>
      <c r="H133" s="469">
        <f t="shared" si="3"/>
        <v>0</v>
      </c>
      <c r="I133" s="469">
        <f t="shared" si="3"/>
        <v>0</v>
      </c>
      <c r="J133" s="469">
        <f t="shared" si="3"/>
        <v>0</v>
      </c>
      <c r="K133" s="469">
        <f t="shared" si="3"/>
        <v>0</v>
      </c>
      <c r="L133" s="469">
        <f t="shared" si="3"/>
        <v>0</v>
      </c>
      <c r="M133" s="469">
        <f t="shared" si="3"/>
        <v>0</v>
      </c>
      <c r="N133" s="469">
        <f t="shared" si="3"/>
        <v>0</v>
      </c>
      <c r="O133" s="469">
        <f t="shared" si="3"/>
        <v>0</v>
      </c>
      <c r="P133" s="469">
        <f t="shared" si="3"/>
        <v>0</v>
      </c>
      <c r="Q133" s="470">
        <f t="shared" si="3"/>
        <v>0</v>
      </c>
      <c r="S133" s="364"/>
    </row>
    <row r="134" spans="4:19" ht="31.5" customHeight="1">
      <c r="D134" s="457"/>
      <c r="E134" s="1519" t="s">
        <v>319</v>
      </c>
      <c r="F134" s="1520"/>
      <c r="G134" s="468">
        <f t="shared" ref="G134:Q134" si="4">G140/1000</f>
        <v>0</v>
      </c>
      <c r="H134" s="469">
        <f t="shared" si="4"/>
        <v>0</v>
      </c>
      <c r="I134" s="469">
        <f t="shared" si="4"/>
        <v>0</v>
      </c>
      <c r="J134" s="469">
        <f t="shared" si="4"/>
        <v>0</v>
      </c>
      <c r="K134" s="469">
        <f t="shared" si="4"/>
        <v>0</v>
      </c>
      <c r="L134" s="469">
        <f t="shared" si="4"/>
        <v>0</v>
      </c>
      <c r="M134" s="469">
        <f t="shared" si="4"/>
        <v>0</v>
      </c>
      <c r="N134" s="469">
        <f t="shared" si="4"/>
        <v>0</v>
      </c>
      <c r="O134" s="469">
        <f t="shared" si="4"/>
        <v>0</v>
      </c>
      <c r="P134" s="469">
        <f t="shared" si="4"/>
        <v>0</v>
      </c>
      <c r="Q134" s="470">
        <f t="shared" si="4"/>
        <v>0</v>
      </c>
      <c r="S134" s="364"/>
    </row>
    <row r="135" spans="4:19" ht="31.5" customHeight="1" thickBot="1">
      <c r="D135" s="458"/>
      <c r="E135" s="1521" t="s">
        <v>318</v>
      </c>
      <c r="F135" s="1522"/>
      <c r="G135" s="471">
        <f t="shared" ref="G135:Q135" si="5">G139/1000</f>
        <v>0</v>
      </c>
      <c r="H135" s="472">
        <f t="shared" si="5"/>
        <v>0</v>
      </c>
      <c r="I135" s="472">
        <f t="shared" si="5"/>
        <v>0</v>
      </c>
      <c r="J135" s="472">
        <f t="shared" si="5"/>
        <v>0</v>
      </c>
      <c r="K135" s="472">
        <f t="shared" si="5"/>
        <v>0</v>
      </c>
      <c r="L135" s="472">
        <f t="shared" si="5"/>
        <v>0</v>
      </c>
      <c r="M135" s="472">
        <f t="shared" si="5"/>
        <v>0</v>
      </c>
      <c r="N135" s="472">
        <f t="shared" si="5"/>
        <v>0</v>
      </c>
      <c r="O135" s="472">
        <f t="shared" si="5"/>
        <v>0</v>
      </c>
      <c r="P135" s="472">
        <f t="shared" si="5"/>
        <v>0</v>
      </c>
      <c r="Q135" s="473">
        <f t="shared" si="5"/>
        <v>0</v>
      </c>
      <c r="S135" s="364"/>
    </row>
    <row r="136" spans="4:19">
      <c r="F136" s="371"/>
      <c r="G136" s="371"/>
      <c r="H136" s="371"/>
      <c r="I136" s="371"/>
      <c r="J136" s="371"/>
      <c r="K136" s="371"/>
      <c r="L136" s="371"/>
      <c r="M136" s="371"/>
      <c r="N136" s="371"/>
      <c r="O136" s="371"/>
      <c r="P136" s="371"/>
      <c r="Q136" s="371"/>
      <c r="S136" s="364"/>
    </row>
    <row r="137" spans="4:19" s="370" customFormat="1">
      <c r="F137" s="374"/>
      <c r="G137" s="374" t="s">
        <v>313</v>
      </c>
      <c r="H137" s="374" t="s">
        <v>236</v>
      </c>
      <c r="I137" s="374" t="s">
        <v>237</v>
      </c>
      <c r="J137" s="374" t="s">
        <v>238</v>
      </c>
      <c r="K137" s="374" t="s">
        <v>239</v>
      </c>
      <c r="L137" s="374" t="s">
        <v>240</v>
      </c>
      <c r="M137" s="374" t="s">
        <v>241</v>
      </c>
      <c r="N137" s="374" t="s">
        <v>242</v>
      </c>
      <c r="O137" s="374" t="s">
        <v>243</v>
      </c>
      <c r="P137" s="374" t="s">
        <v>244</v>
      </c>
      <c r="Q137" s="374" t="s">
        <v>245</v>
      </c>
    </row>
    <row r="138" spans="4:19" s="370" customFormat="1">
      <c r="F138" s="372" t="s">
        <v>170</v>
      </c>
      <c r="G138" s="372">
        <f ca="1">'&lt;参考&gt;●総コスト算出WS'!$E$43*$G$6</f>
        <v>0</v>
      </c>
      <c r="H138" s="372">
        <f ca="1">'&lt;参考&gt;●総コスト算出WS'!$F$43*$H$6</f>
        <v>0</v>
      </c>
      <c r="I138" s="372">
        <f ca="1">'&lt;参考&gt;●総コスト算出WS'!$G$43*$I$6</f>
        <v>695361.00000000093</v>
      </c>
      <c r="J138" s="372">
        <f ca="1">'&lt;参考&gt;●総コスト算出WS'!$H$43*$J$6</f>
        <v>897240</v>
      </c>
      <c r="K138" s="372">
        <f ca="1">'&lt;参考&gt;●総コスト算出WS'!$I$43*$K$6</f>
        <v>1121550</v>
      </c>
      <c r="L138" s="372">
        <f ca="1">'&lt;参考&gt;●総コスト算出WS'!$J$43*$L$6</f>
        <v>1345860</v>
      </c>
      <c r="M138" s="372">
        <f ca="1">'&lt;参考&gt;●総コスト算出WS'!$K$43*$M$6</f>
        <v>1345860</v>
      </c>
      <c r="N138" s="372">
        <f ca="1">'&lt;参考&gt;●総コスト算出WS'!$L$43*$N$6</f>
        <v>1345860</v>
      </c>
      <c r="O138" s="372">
        <f ca="1">'&lt;参考&gt;●総コスト算出WS'!$M$43*$O$6</f>
        <v>1345860</v>
      </c>
      <c r="P138" s="372">
        <f ca="1">'&lt;参考&gt;●総コスト算出WS'!$N$43*$P$6</f>
        <v>1345860</v>
      </c>
      <c r="Q138" s="372">
        <f ca="1">'&lt;参考&gt;●総コスト算出WS'!$O$43*$Q$6</f>
        <v>1345860</v>
      </c>
    </row>
    <row r="139" spans="4:19" s="370" customFormat="1">
      <c r="F139" s="372" t="s">
        <v>318</v>
      </c>
      <c r="G139" s="372">
        <f>-(SUM('&lt;参考&gt;●総コスト算出WS'!E58:E61)+SUM('&lt;参考&gt;●総コスト算出WS'!E71:E73))</f>
        <v>0</v>
      </c>
      <c r="H139" s="372">
        <f>-(SUM('&lt;参考&gt;●総コスト算出WS'!F58:F61)+SUM('&lt;参考&gt;●総コスト算出WS'!F71:F73))</f>
        <v>0</v>
      </c>
      <c r="I139" s="372">
        <f>-(SUM('&lt;参考&gt;●総コスト算出WS'!G58:G61)+SUM('&lt;参考&gt;●総コスト算出WS'!G71:G73))</f>
        <v>0</v>
      </c>
      <c r="J139" s="372">
        <f>-(SUM('&lt;参考&gt;●総コスト算出WS'!H58:H61)+SUM('&lt;参考&gt;●総コスト算出WS'!H71:H73))</f>
        <v>0</v>
      </c>
      <c r="K139" s="372">
        <f>-(SUM('&lt;参考&gt;●総コスト算出WS'!I58:I61)+SUM('&lt;参考&gt;●総コスト算出WS'!I71:I73))</f>
        <v>0</v>
      </c>
      <c r="L139" s="372">
        <f>-(SUM('&lt;参考&gt;●総コスト算出WS'!J58:J61)+SUM('&lt;参考&gt;●総コスト算出WS'!J71:J73))</f>
        <v>0</v>
      </c>
      <c r="M139" s="372">
        <f>-(SUM('&lt;参考&gt;●総コスト算出WS'!K58:K61)+SUM('&lt;参考&gt;●総コスト算出WS'!K71:K73))</f>
        <v>0</v>
      </c>
      <c r="N139" s="372">
        <f>-(SUM('&lt;参考&gt;●総コスト算出WS'!L58:L61)+SUM('&lt;参考&gt;●総コスト算出WS'!L71:L73))</f>
        <v>0</v>
      </c>
      <c r="O139" s="372">
        <f>-(SUM('&lt;参考&gt;●総コスト算出WS'!M58:M61)+SUM('&lt;参考&gt;●総コスト算出WS'!M71:M73))</f>
        <v>0</v>
      </c>
      <c r="P139" s="372">
        <f>-(SUM('&lt;参考&gt;●総コスト算出WS'!N58:N61)+SUM('&lt;参考&gt;●総コスト算出WS'!N71:N73))</f>
        <v>0</v>
      </c>
      <c r="Q139" s="372">
        <f>-(SUM('&lt;参考&gt;●総コスト算出WS'!O58:O61)+SUM('&lt;参考&gt;●総コスト算出WS'!O71:O73))</f>
        <v>0</v>
      </c>
    </row>
    <row r="140" spans="4:19" s="370" customFormat="1">
      <c r="F140" s="372" t="s">
        <v>807</v>
      </c>
      <c r="G140" s="373">
        <f>-(SUM('&lt;参考&gt;●総コスト算出WS'!E64:E70))</f>
        <v>0</v>
      </c>
      <c r="H140" s="373">
        <f>-(SUM('&lt;参考&gt;●総コスト算出WS'!F64:F70))</f>
        <v>0</v>
      </c>
      <c r="I140" s="373">
        <f>-(SUM('&lt;参考&gt;●総コスト算出WS'!G64:G70))</f>
        <v>0</v>
      </c>
      <c r="J140" s="373">
        <f>-(SUM('&lt;参考&gt;●総コスト算出WS'!H64:H70))</f>
        <v>0</v>
      </c>
      <c r="K140" s="373">
        <f>-(SUM('&lt;参考&gt;●総コスト算出WS'!I64:I70))</f>
        <v>0</v>
      </c>
      <c r="L140" s="373">
        <f>-(SUM('&lt;参考&gt;●総コスト算出WS'!J64:J70))</f>
        <v>0</v>
      </c>
      <c r="M140" s="373">
        <f>-(SUM('&lt;参考&gt;●総コスト算出WS'!K64:K70))</f>
        <v>0</v>
      </c>
      <c r="N140" s="373">
        <f>-(SUM('&lt;参考&gt;●総コスト算出WS'!L64:L70))</f>
        <v>0</v>
      </c>
      <c r="O140" s="373">
        <f>-(SUM('&lt;参考&gt;●総コスト算出WS'!M64:M70))</f>
        <v>0</v>
      </c>
      <c r="P140" s="373">
        <f>-(SUM('&lt;参考&gt;●総コスト算出WS'!N64:N70))</f>
        <v>0</v>
      </c>
      <c r="Q140" s="373">
        <f>-(SUM('&lt;参考&gt;●総コスト算出WS'!O64:O70))</f>
        <v>0</v>
      </c>
    </row>
    <row r="141" spans="4:19" s="370" customFormat="1">
      <c r="F141" s="372" t="s">
        <v>316</v>
      </c>
      <c r="G141" s="372">
        <f>-(SUM('&lt;参考&gt;●総コスト算出WS'!E51:E57))</f>
        <v>0</v>
      </c>
      <c r="H141" s="372">
        <f>-(SUM('&lt;参考&gt;●総コスト算出WS'!F51:F57))</f>
        <v>0</v>
      </c>
      <c r="I141" s="372">
        <f>-(SUM('&lt;参考&gt;●総コスト算出WS'!G51:G57))</f>
        <v>0</v>
      </c>
      <c r="J141" s="372">
        <f>-(SUM('&lt;参考&gt;●総コスト算出WS'!H51:H57))</f>
        <v>0</v>
      </c>
      <c r="K141" s="372">
        <f>-(SUM('&lt;参考&gt;●総コスト算出WS'!I51:I57))</f>
        <v>0</v>
      </c>
      <c r="L141" s="372">
        <f>-(SUM('&lt;参考&gt;●総コスト算出WS'!J51:J57))</f>
        <v>0</v>
      </c>
      <c r="M141" s="372">
        <f>-(SUM('&lt;参考&gt;●総コスト算出WS'!K51:K57))</f>
        <v>0</v>
      </c>
      <c r="N141" s="372">
        <f>-(SUM('&lt;参考&gt;●総コスト算出WS'!L51:L57))</f>
        <v>0</v>
      </c>
      <c r="O141" s="372">
        <f>-(SUM('&lt;参考&gt;●総コスト算出WS'!M51:M57))</f>
        <v>0</v>
      </c>
      <c r="P141" s="372">
        <f>-(SUM('&lt;参考&gt;●総コスト算出WS'!N51:N57))</f>
        <v>0</v>
      </c>
      <c r="Q141" s="372">
        <f>-(SUM('&lt;参考&gt;●総コスト算出WS'!O51:O57))</f>
        <v>0</v>
      </c>
    </row>
    <row r="142" spans="4:19" s="370" customFormat="1">
      <c r="F142" s="372" t="s">
        <v>322</v>
      </c>
      <c r="G142" s="372">
        <f>-('&lt;参考&gt;●総コスト算出WS'!E50+'&lt;参考&gt;●総コスト算出WS'!E63)</f>
        <v>0</v>
      </c>
      <c r="H142" s="372">
        <f>-('&lt;参考&gt;●総コスト算出WS'!F50+'&lt;参考&gt;●総コスト算出WS'!F63)</f>
        <v>0</v>
      </c>
      <c r="I142" s="372">
        <f>-('&lt;参考&gt;●総コスト算出WS'!G50+'&lt;参考&gt;●総コスト算出WS'!G63)</f>
        <v>0</v>
      </c>
      <c r="J142" s="372">
        <f>-('&lt;参考&gt;●総コスト算出WS'!H50+'&lt;参考&gt;●総コスト算出WS'!H63)</f>
        <v>0</v>
      </c>
      <c r="K142" s="372">
        <f>-('&lt;参考&gt;●総コスト算出WS'!I50+'&lt;参考&gt;●総コスト算出WS'!I63)</f>
        <v>0</v>
      </c>
      <c r="L142" s="372">
        <f>-('&lt;参考&gt;●総コスト算出WS'!J50+'&lt;参考&gt;●総コスト算出WS'!J63)</f>
        <v>0</v>
      </c>
      <c r="M142" s="372">
        <f>-('&lt;参考&gt;●総コスト算出WS'!K50+'&lt;参考&gt;●総コスト算出WS'!K63)</f>
        <v>0</v>
      </c>
      <c r="N142" s="372">
        <f>-('&lt;参考&gt;●総コスト算出WS'!L50+'&lt;参考&gt;●総コスト算出WS'!L63)</f>
        <v>0</v>
      </c>
      <c r="O142" s="372">
        <f>-('&lt;参考&gt;●総コスト算出WS'!M50+'&lt;参考&gt;●総コスト算出WS'!M63)</f>
        <v>0</v>
      </c>
      <c r="P142" s="372">
        <f>-('&lt;参考&gt;●総コスト算出WS'!N50+'&lt;参考&gt;●総コスト算出WS'!N63)</f>
        <v>0</v>
      </c>
      <c r="Q142" s="372">
        <f>-('&lt;参考&gt;●総コスト算出WS'!O50+'&lt;参考&gt;●総コスト算出WS'!O63)</f>
        <v>0</v>
      </c>
    </row>
    <row r="143" spans="4:19" hidden="1">
      <c r="F143" s="372" t="s">
        <v>320</v>
      </c>
      <c r="G143" s="372">
        <f t="shared" ref="G143:O143" ca="1" si="6">SUM(G138:G142)</f>
        <v>0</v>
      </c>
      <c r="H143" s="372">
        <f t="shared" ca="1" si="6"/>
        <v>0</v>
      </c>
      <c r="I143" s="372">
        <f t="shared" ca="1" si="6"/>
        <v>695361.00000000093</v>
      </c>
      <c r="J143" s="372">
        <f t="shared" ca="1" si="6"/>
        <v>897240</v>
      </c>
      <c r="K143" s="372">
        <f t="shared" ca="1" si="6"/>
        <v>1121550</v>
      </c>
      <c r="L143" s="372">
        <f t="shared" ca="1" si="6"/>
        <v>1345860</v>
      </c>
      <c r="M143" s="372">
        <f t="shared" ca="1" si="6"/>
        <v>1345860</v>
      </c>
      <c r="N143" s="372">
        <f t="shared" ca="1" si="6"/>
        <v>1345860</v>
      </c>
      <c r="O143" s="372">
        <f t="shared" ca="1" si="6"/>
        <v>1345860</v>
      </c>
      <c r="P143" s="372">
        <f ca="1">SUM(P138:P142)</f>
        <v>1345860</v>
      </c>
      <c r="Q143" s="372">
        <f ca="1">SUM(Q138:Q142)</f>
        <v>1345860</v>
      </c>
      <c r="S143" s="364"/>
    </row>
    <row r="144" spans="4:19">
      <c r="F144" s="372" t="s">
        <v>214</v>
      </c>
      <c r="G144" s="372">
        <f ca="1">G143</f>
        <v>0</v>
      </c>
      <c r="H144" s="372">
        <f ca="1">G144+H143</f>
        <v>0</v>
      </c>
      <c r="I144" s="372">
        <f t="shared" ref="I144:Q144" ca="1" si="7">H144+I143</f>
        <v>695361.00000000093</v>
      </c>
      <c r="J144" s="372">
        <f t="shared" ca="1" si="7"/>
        <v>1592601.0000000009</v>
      </c>
      <c r="K144" s="372">
        <f t="shared" ca="1" si="7"/>
        <v>2714151.0000000009</v>
      </c>
      <c r="L144" s="372">
        <f t="shared" ca="1" si="7"/>
        <v>4060011.0000000009</v>
      </c>
      <c r="M144" s="372">
        <f t="shared" ca="1" si="7"/>
        <v>5405871.0000000009</v>
      </c>
      <c r="N144" s="372">
        <f t="shared" ca="1" si="7"/>
        <v>6751731.0000000009</v>
      </c>
      <c r="O144" s="372">
        <f t="shared" ca="1" si="7"/>
        <v>8097591.0000000009</v>
      </c>
      <c r="P144" s="372">
        <f t="shared" ca="1" si="7"/>
        <v>9443451</v>
      </c>
      <c r="Q144" s="372">
        <f t="shared" ca="1" si="7"/>
        <v>10789311</v>
      </c>
      <c r="S144" s="364"/>
    </row>
    <row r="145" spans="6:19" ht="13.5" customHeight="1">
      <c r="F145" s="372" t="s">
        <v>431</v>
      </c>
      <c r="G145" s="439">
        <f>G129</f>
        <v>0</v>
      </c>
      <c r="H145" s="439">
        <f t="shared" ref="H145:Q145" si="8">H129</f>
        <v>0</v>
      </c>
      <c r="I145" s="439">
        <f t="shared" si="8"/>
        <v>0.31</v>
      </c>
      <c r="J145" s="439">
        <f t="shared" si="8"/>
        <v>0.4</v>
      </c>
      <c r="K145" s="439">
        <f t="shared" si="8"/>
        <v>0.5</v>
      </c>
      <c r="L145" s="439">
        <f t="shared" si="8"/>
        <v>0.6</v>
      </c>
      <c r="M145" s="439">
        <f t="shared" si="8"/>
        <v>0.6</v>
      </c>
      <c r="N145" s="439">
        <f t="shared" si="8"/>
        <v>0.6</v>
      </c>
      <c r="O145" s="439">
        <f t="shared" si="8"/>
        <v>0.6</v>
      </c>
      <c r="P145" s="439">
        <f t="shared" si="8"/>
        <v>0.6</v>
      </c>
      <c r="Q145" s="439">
        <f t="shared" si="8"/>
        <v>0.6</v>
      </c>
      <c r="S145" s="364"/>
    </row>
    <row r="146" spans="6:19" ht="13.5" customHeight="1">
      <c r="F146" s="372" t="s">
        <v>432</v>
      </c>
      <c r="G146" s="439">
        <f>G130</f>
        <v>0</v>
      </c>
      <c r="H146" s="439">
        <f t="shared" ref="H146:Q146" si="9">H130</f>
        <v>0</v>
      </c>
      <c r="I146" s="439">
        <f t="shared" si="9"/>
        <v>0</v>
      </c>
      <c r="J146" s="439">
        <f t="shared" si="9"/>
        <v>0</v>
      </c>
      <c r="K146" s="439">
        <f t="shared" si="9"/>
        <v>0</v>
      </c>
      <c r="L146" s="439">
        <f t="shared" si="9"/>
        <v>0</v>
      </c>
      <c r="M146" s="439">
        <f t="shared" si="9"/>
        <v>0</v>
      </c>
      <c r="N146" s="439">
        <f t="shared" si="9"/>
        <v>0</v>
      </c>
      <c r="O146" s="439">
        <f t="shared" si="9"/>
        <v>0</v>
      </c>
      <c r="P146" s="439">
        <f t="shared" si="9"/>
        <v>0</v>
      </c>
      <c r="Q146" s="439">
        <f t="shared" si="9"/>
        <v>0</v>
      </c>
      <c r="S146" s="364"/>
    </row>
    <row r="147" spans="6:19" ht="13.5" customHeight="1">
      <c r="F147" s="371"/>
      <c r="G147" s="371"/>
      <c r="H147" s="371"/>
      <c r="I147" s="371"/>
      <c r="J147" s="371"/>
      <c r="K147" s="371"/>
      <c r="L147" s="371"/>
      <c r="M147" s="371"/>
      <c r="N147" s="371"/>
      <c r="O147" s="371"/>
      <c r="P147" s="371"/>
      <c r="Q147" s="371"/>
      <c r="S147" s="364"/>
    </row>
    <row r="148" spans="6:19" ht="13.5" customHeight="1">
      <c r="F148" s="371"/>
      <c r="G148" s="371"/>
      <c r="H148" s="371"/>
      <c r="I148" s="371"/>
      <c r="J148" s="371"/>
      <c r="K148" s="371"/>
      <c r="L148" s="371"/>
      <c r="M148" s="371"/>
      <c r="N148" s="371"/>
      <c r="O148" s="371"/>
      <c r="P148" s="371"/>
      <c r="Q148" s="371"/>
      <c r="S148" s="364"/>
    </row>
    <row r="149" spans="6:19" ht="13.5" customHeight="1">
      <c r="F149" s="371"/>
      <c r="G149" s="371"/>
      <c r="H149" s="371"/>
      <c r="I149" s="371"/>
      <c r="J149" s="371"/>
      <c r="K149" s="371"/>
      <c r="L149" s="371"/>
      <c r="M149" s="371"/>
      <c r="N149" s="371"/>
      <c r="O149" s="371"/>
      <c r="P149" s="371"/>
      <c r="Q149" s="371"/>
      <c r="S149" s="364"/>
    </row>
    <row r="150" spans="6:19" ht="13.5" customHeight="1">
      <c r="F150" s="371"/>
      <c r="G150" s="371"/>
      <c r="H150" s="371"/>
      <c r="I150" s="371"/>
      <c r="J150" s="371"/>
      <c r="K150" s="371"/>
      <c r="L150" s="371"/>
      <c r="M150" s="371"/>
      <c r="N150" s="371"/>
      <c r="O150" s="371"/>
      <c r="P150" s="371"/>
      <c r="Q150" s="371"/>
      <c r="S150" s="364"/>
    </row>
    <row r="151" spans="6:19" ht="13.5" customHeight="1">
      <c r="F151" s="371"/>
      <c r="G151" s="371"/>
      <c r="H151" s="371"/>
      <c r="I151" s="371"/>
      <c r="J151" s="371"/>
      <c r="K151" s="371"/>
      <c r="L151" s="371"/>
      <c r="M151" s="371"/>
      <c r="N151" s="371"/>
      <c r="O151" s="371"/>
      <c r="P151" s="371"/>
      <c r="Q151" s="371"/>
      <c r="S151" s="364"/>
    </row>
    <row r="152" spans="6:19" ht="13.5" customHeight="1">
      <c r="F152" s="371"/>
      <c r="G152" s="371"/>
      <c r="H152" s="371"/>
      <c r="I152" s="371"/>
      <c r="J152" s="371"/>
      <c r="K152" s="371"/>
      <c r="L152" s="371"/>
      <c r="M152" s="371"/>
      <c r="N152" s="371"/>
      <c r="O152" s="371"/>
      <c r="P152" s="371"/>
      <c r="Q152" s="371"/>
      <c r="S152" s="364"/>
    </row>
    <row r="153" spans="6:19" ht="13.5" customHeight="1">
      <c r="F153" s="371"/>
      <c r="G153" s="371"/>
      <c r="H153" s="371"/>
      <c r="I153" s="371"/>
      <c r="J153" s="371"/>
      <c r="K153" s="371"/>
      <c r="L153" s="371"/>
      <c r="M153" s="371"/>
      <c r="N153" s="371"/>
      <c r="O153" s="371"/>
      <c r="P153" s="371"/>
      <c r="Q153" s="371"/>
      <c r="S153" s="364"/>
    </row>
    <row r="154" spans="6:19" ht="13.5" customHeight="1">
      <c r="F154" s="371"/>
      <c r="G154" s="371"/>
      <c r="H154" s="371"/>
      <c r="I154" s="371"/>
      <c r="J154" s="371"/>
      <c r="K154" s="371"/>
      <c r="L154" s="371"/>
      <c r="M154" s="371"/>
      <c r="N154" s="371"/>
      <c r="O154" s="371"/>
      <c r="P154" s="371"/>
      <c r="Q154" s="371"/>
      <c r="S154" s="364"/>
    </row>
    <row r="155" spans="6:19" ht="13.5" customHeight="1">
      <c r="F155" s="371"/>
      <c r="G155" s="371"/>
      <c r="H155" s="371"/>
      <c r="I155" s="371"/>
      <c r="J155" s="371"/>
      <c r="K155" s="371"/>
      <c r="L155" s="371"/>
      <c r="M155" s="371"/>
      <c r="N155" s="371"/>
      <c r="O155" s="371"/>
      <c r="P155" s="371"/>
      <c r="Q155" s="371"/>
      <c r="S155" s="364"/>
    </row>
    <row r="156" spans="6:19" ht="13.5" customHeight="1">
      <c r="F156" s="371"/>
      <c r="G156" s="371"/>
      <c r="H156" s="371"/>
      <c r="I156" s="371"/>
      <c r="J156" s="371"/>
      <c r="K156" s="371"/>
      <c r="L156" s="371"/>
      <c r="M156" s="371"/>
      <c r="N156" s="371"/>
      <c r="O156" s="371"/>
      <c r="P156" s="371"/>
      <c r="Q156" s="371"/>
      <c r="S156" s="364"/>
    </row>
    <row r="157" spans="6:19" ht="13.5" customHeight="1">
      <c r="F157" s="371"/>
      <c r="G157" s="371"/>
      <c r="H157" s="371"/>
      <c r="I157" s="371"/>
      <c r="J157" s="371"/>
      <c r="K157" s="371"/>
      <c r="L157" s="371"/>
      <c r="M157" s="371"/>
      <c r="N157" s="371"/>
      <c r="O157" s="371"/>
      <c r="P157" s="371"/>
      <c r="Q157" s="371"/>
      <c r="S157" s="364"/>
    </row>
    <row r="158" spans="6:19" ht="13.5" customHeight="1">
      <c r="F158" s="371"/>
      <c r="G158" s="371"/>
      <c r="H158" s="371"/>
      <c r="I158" s="371"/>
      <c r="J158" s="371"/>
      <c r="K158" s="371"/>
      <c r="L158" s="371"/>
      <c r="M158" s="371"/>
      <c r="N158" s="371"/>
      <c r="O158" s="371"/>
      <c r="P158" s="371"/>
      <c r="Q158" s="371"/>
      <c r="S158" s="364"/>
    </row>
    <row r="159" spans="6:19" ht="13.5" customHeight="1">
      <c r="F159" s="371"/>
      <c r="G159" s="371"/>
      <c r="H159" s="371"/>
      <c r="I159" s="371"/>
      <c r="J159" s="371"/>
      <c r="K159" s="371"/>
      <c r="L159" s="371"/>
      <c r="M159" s="371"/>
      <c r="N159" s="371"/>
      <c r="O159" s="371"/>
      <c r="P159" s="371"/>
      <c r="Q159" s="371"/>
      <c r="S159" s="364"/>
    </row>
    <row r="160" spans="6:19" ht="13.5" customHeight="1">
      <c r="F160" s="371"/>
      <c r="G160" s="371"/>
      <c r="H160" s="371"/>
      <c r="I160" s="371"/>
      <c r="J160" s="371"/>
      <c r="K160" s="371"/>
      <c r="L160" s="371"/>
      <c r="M160" s="371"/>
      <c r="N160" s="371"/>
      <c r="O160" s="371"/>
      <c r="P160" s="371"/>
      <c r="Q160" s="371"/>
      <c r="S160" s="364"/>
    </row>
    <row r="161" spans="6:19" ht="13.5" customHeight="1">
      <c r="F161" s="371"/>
      <c r="G161" s="371"/>
      <c r="H161" s="371"/>
      <c r="I161" s="371"/>
      <c r="J161" s="371"/>
      <c r="K161" s="371"/>
      <c r="L161" s="371"/>
      <c r="M161" s="371"/>
      <c r="N161" s="371"/>
      <c r="O161" s="371"/>
      <c r="P161" s="371"/>
      <c r="Q161" s="371"/>
      <c r="S161" s="364"/>
    </row>
    <row r="162" spans="6:19">
      <c r="F162" s="371"/>
      <c r="G162" s="371"/>
      <c r="H162" s="371"/>
      <c r="I162" s="371"/>
      <c r="J162" s="371"/>
      <c r="K162" s="371"/>
      <c r="L162" s="371"/>
      <c r="M162" s="371"/>
      <c r="N162" s="371"/>
      <c r="O162" s="371"/>
      <c r="P162" s="371"/>
      <c r="Q162" s="371"/>
      <c r="S162" s="364"/>
    </row>
    <row r="163" spans="6:19" ht="13.5" customHeight="1">
      <c r="F163" s="371"/>
      <c r="G163" s="371"/>
      <c r="H163" s="371"/>
      <c r="I163" s="371"/>
      <c r="J163" s="371"/>
      <c r="K163" s="371"/>
      <c r="L163" s="371"/>
      <c r="M163" s="371"/>
      <c r="N163" s="371"/>
      <c r="O163" s="371"/>
      <c r="P163" s="371"/>
      <c r="Q163" s="371"/>
      <c r="S163" s="364"/>
    </row>
    <row r="164" spans="6:19" ht="13.5" customHeight="1">
      <c r="F164" s="371"/>
      <c r="G164" s="371"/>
      <c r="H164" s="371"/>
      <c r="I164" s="371"/>
      <c r="J164" s="371"/>
      <c r="K164" s="371"/>
      <c r="L164" s="371"/>
      <c r="M164" s="371"/>
      <c r="N164" s="371"/>
      <c r="O164" s="371"/>
      <c r="P164" s="371"/>
      <c r="Q164" s="371"/>
      <c r="S164" s="364"/>
    </row>
    <row r="165" spans="6:19" ht="13.5" customHeight="1">
      <c r="F165" s="371"/>
      <c r="G165" s="371"/>
      <c r="H165" s="371"/>
      <c r="I165" s="371"/>
      <c r="J165" s="371"/>
      <c r="K165" s="371"/>
      <c r="L165" s="371"/>
      <c r="M165" s="371"/>
      <c r="N165" s="371"/>
      <c r="O165" s="371"/>
      <c r="P165" s="371"/>
      <c r="Q165" s="371"/>
      <c r="S165" s="364"/>
    </row>
    <row r="166" spans="6:19" ht="13.5" customHeight="1">
      <c r="F166" s="371"/>
      <c r="G166" s="371"/>
      <c r="H166" s="371"/>
      <c r="I166" s="371"/>
      <c r="J166" s="371"/>
      <c r="K166" s="371"/>
      <c r="L166" s="371"/>
      <c r="M166" s="371"/>
      <c r="N166" s="371"/>
      <c r="O166" s="371"/>
      <c r="P166" s="371"/>
      <c r="Q166" s="371"/>
      <c r="S166" s="364"/>
    </row>
    <row r="167" spans="6:19" ht="13.5" customHeight="1">
      <c r="F167" s="371"/>
      <c r="G167" s="371"/>
      <c r="H167" s="371"/>
      <c r="I167" s="371"/>
      <c r="J167" s="371"/>
      <c r="K167" s="371"/>
      <c r="L167" s="371"/>
      <c r="M167" s="371"/>
      <c r="N167" s="371"/>
      <c r="O167" s="371"/>
      <c r="P167" s="371"/>
      <c r="Q167" s="371"/>
      <c r="S167" s="364"/>
    </row>
    <row r="168" spans="6:19" ht="13.5" customHeight="1">
      <c r="F168" s="371"/>
      <c r="G168" s="371"/>
      <c r="H168" s="371"/>
      <c r="I168" s="371"/>
      <c r="J168" s="371"/>
      <c r="K168" s="371"/>
      <c r="L168" s="371"/>
      <c r="M168" s="371"/>
      <c r="N168" s="371"/>
      <c r="O168" s="371"/>
      <c r="P168" s="371"/>
      <c r="Q168" s="371"/>
      <c r="S168" s="364"/>
    </row>
    <row r="169" spans="6:19" ht="13.5" customHeight="1">
      <c r="F169" s="371"/>
      <c r="G169" s="371"/>
      <c r="H169" s="371"/>
      <c r="I169" s="371"/>
      <c r="J169" s="371"/>
      <c r="K169" s="371"/>
      <c r="L169" s="371"/>
      <c r="M169" s="371"/>
      <c r="N169" s="371"/>
      <c r="O169" s="371"/>
      <c r="P169" s="371"/>
      <c r="Q169" s="371"/>
      <c r="S169" s="364"/>
    </row>
    <row r="170" spans="6:19" ht="13.5" customHeight="1">
      <c r="F170" s="371"/>
      <c r="G170" s="371"/>
      <c r="H170" s="371"/>
      <c r="I170" s="371"/>
      <c r="J170" s="371"/>
      <c r="K170" s="371"/>
      <c r="L170" s="371"/>
      <c r="M170" s="371"/>
      <c r="N170" s="371"/>
      <c r="O170" s="371"/>
      <c r="P170" s="371"/>
      <c r="Q170" s="371"/>
      <c r="S170" s="364"/>
    </row>
    <row r="171" spans="6:19" ht="13.5" customHeight="1">
      <c r="F171" s="371"/>
      <c r="G171" s="371"/>
      <c r="H171" s="371"/>
      <c r="I171" s="371"/>
      <c r="J171" s="371"/>
      <c r="K171" s="371"/>
      <c r="L171" s="371"/>
      <c r="M171" s="371"/>
      <c r="N171" s="371"/>
      <c r="O171" s="371"/>
      <c r="P171" s="371"/>
      <c r="Q171" s="371"/>
      <c r="S171" s="364"/>
    </row>
    <row r="172" spans="6:19" ht="13.5" customHeight="1">
      <c r="F172" s="371"/>
      <c r="G172" s="371"/>
      <c r="H172" s="371"/>
      <c r="I172" s="371"/>
      <c r="J172" s="371"/>
      <c r="K172" s="371"/>
      <c r="L172" s="371"/>
      <c r="M172" s="371"/>
      <c r="N172" s="371"/>
      <c r="O172" s="371"/>
      <c r="P172" s="371"/>
      <c r="Q172" s="371"/>
      <c r="S172" s="364"/>
    </row>
    <row r="173" spans="6:19" ht="13.5" customHeight="1">
      <c r="F173" s="371"/>
      <c r="G173" s="371"/>
      <c r="H173" s="371"/>
      <c r="I173" s="371"/>
      <c r="J173" s="371"/>
      <c r="K173" s="371"/>
      <c r="L173" s="371"/>
      <c r="M173" s="371"/>
      <c r="N173" s="371"/>
      <c r="O173" s="371"/>
      <c r="P173" s="371"/>
      <c r="Q173" s="371"/>
      <c r="S173" s="364"/>
    </row>
    <row r="174" spans="6:19">
      <c r="F174" s="371"/>
      <c r="G174" s="371"/>
      <c r="H174" s="371"/>
      <c r="I174" s="371"/>
      <c r="J174" s="371"/>
      <c r="K174" s="371"/>
      <c r="L174" s="371"/>
      <c r="M174" s="371"/>
      <c r="N174" s="371"/>
      <c r="O174" s="371"/>
      <c r="P174" s="371"/>
      <c r="Q174" s="371"/>
      <c r="S174" s="364"/>
    </row>
    <row r="175" spans="6:19">
      <c r="H175" s="364"/>
    </row>
    <row r="191" spans="1:19" ht="24">
      <c r="A191" s="590"/>
      <c r="B191" s="591" t="s">
        <v>406</v>
      </c>
      <c r="C191" s="592"/>
      <c r="D191" s="590"/>
      <c r="E191" s="590"/>
      <c r="F191" s="590"/>
      <c r="G191" s="590"/>
      <c r="H191" s="590"/>
      <c r="I191" s="590"/>
      <c r="J191" s="590"/>
      <c r="K191" s="590"/>
      <c r="L191" s="590"/>
      <c r="M191" s="590"/>
      <c r="N191" s="590"/>
      <c r="O191" s="590"/>
      <c r="P191" s="590"/>
      <c r="Q191" s="590"/>
      <c r="R191" s="590"/>
      <c r="S191" s="590"/>
    </row>
    <row r="192" spans="1:19" ht="24">
      <c r="A192" s="590"/>
      <c r="B192" s="591"/>
      <c r="C192" s="592"/>
      <c r="D192" s="590"/>
      <c r="E192" s="590"/>
      <c r="F192" s="590"/>
      <c r="G192" s="590"/>
      <c r="H192" s="590"/>
      <c r="I192" s="590"/>
      <c r="J192" s="590"/>
      <c r="K192" s="590"/>
      <c r="L192" s="590"/>
      <c r="M192" s="590"/>
      <c r="N192" s="590"/>
      <c r="O192" s="590"/>
      <c r="P192" s="590"/>
      <c r="Q192" s="590"/>
      <c r="R192" s="590"/>
      <c r="S192" s="590"/>
    </row>
    <row r="193" spans="1:19" ht="18.75">
      <c r="A193" s="590"/>
      <c r="B193" s="593" t="s">
        <v>404</v>
      </c>
      <c r="C193" s="594"/>
      <c r="D193" s="594"/>
      <c r="E193" s="594"/>
      <c r="F193" s="590"/>
      <c r="G193" s="593" t="s">
        <v>321</v>
      </c>
      <c r="H193" s="593"/>
      <c r="I193" s="593"/>
      <c r="J193" s="593"/>
      <c r="K193" s="590"/>
      <c r="L193" s="590"/>
      <c r="M193" s="590"/>
      <c r="N193" s="590"/>
      <c r="O193" s="590"/>
      <c r="P193" s="590"/>
      <c r="Q193" s="590"/>
      <c r="R193" s="590"/>
      <c r="S193" s="590"/>
    </row>
    <row r="194" spans="1:19" ht="20.100000000000001" customHeight="1">
      <c r="A194" s="590"/>
      <c r="B194" s="1514" t="s">
        <v>396</v>
      </c>
      <c r="C194" s="1515"/>
      <c r="D194" s="595" t="s">
        <v>397</v>
      </c>
      <c r="E194" s="596"/>
      <c r="F194" s="590"/>
      <c r="G194" s="1542" t="s">
        <v>314</v>
      </c>
      <c r="H194" s="1542"/>
      <c r="I194" s="1540">
        <f>投資情報!$I$5+1</f>
        <v>2</v>
      </c>
      <c r="J194" s="1541"/>
      <c r="K194" s="590"/>
      <c r="L194" s="590"/>
      <c r="M194" s="590"/>
      <c r="N194" s="590"/>
      <c r="O194" s="590"/>
      <c r="P194" s="590"/>
      <c r="Q194" s="590"/>
      <c r="R194" s="590"/>
      <c r="S194" s="590"/>
    </row>
    <row r="195" spans="1:19" ht="20.100000000000001" customHeight="1">
      <c r="A195" s="590"/>
      <c r="B195" s="1514" t="s">
        <v>394</v>
      </c>
      <c r="C195" s="1515"/>
      <c r="D195" s="597"/>
      <c r="E195" s="598" t="s">
        <v>352</v>
      </c>
      <c r="F195" s="590"/>
      <c r="G195" s="1542" t="s">
        <v>315</v>
      </c>
      <c r="H195" s="1542"/>
      <c r="I195" s="1540">
        <f>投資情報!$W$5+1</f>
        <v>9</v>
      </c>
      <c r="J195" s="1541"/>
      <c r="K195" s="590"/>
      <c r="L195" s="590"/>
      <c r="M195" s="590"/>
      <c r="N195" s="590"/>
      <c r="O195" s="590"/>
      <c r="P195" s="590"/>
      <c r="Q195" s="590"/>
      <c r="R195" s="590"/>
      <c r="S195" s="590"/>
    </row>
    <row r="196" spans="1:19" ht="20.100000000000001" customHeight="1">
      <c r="A196" s="590"/>
      <c r="B196" s="1479" t="s">
        <v>402</v>
      </c>
      <c r="C196" s="1480"/>
      <c r="D196" s="595" t="s">
        <v>403</v>
      </c>
      <c r="E196" s="596"/>
      <c r="F196" s="590"/>
      <c r="G196" s="590"/>
      <c r="H196" s="590"/>
      <c r="I196" s="590"/>
      <c r="J196" s="590"/>
      <c r="K196" s="590"/>
      <c r="L196" s="590"/>
      <c r="M196" s="590"/>
      <c r="N196" s="590"/>
      <c r="O196" s="590"/>
      <c r="P196" s="590"/>
      <c r="Q196" s="590"/>
      <c r="R196" s="590"/>
      <c r="S196" s="590"/>
    </row>
    <row r="197" spans="1:19" s="128" customFormat="1" ht="20.100000000000001" customHeight="1">
      <c r="A197" s="594"/>
      <c r="B197" s="599" t="s">
        <v>789</v>
      </c>
      <c r="C197" s="599"/>
      <c r="D197" s="600">
        <f>'&lt;参考&gt;●現在の業務の総コスト'!$G$6</f>
        <v>7200</v>
      </c>
      <c r="E197" s="598" t="s">
        <v>399</v>
      </c>
      <c r="F197" s="594"/>
      <c r="G197" s="593" t="s">
        <v>726</v>
      </c>
      <c r="H197" s="594"/>
      <c r="I197" s="594"/>
      <c r="J197" s="594"/>
      <c r="K197" s="594"/>
      <c r="L197" s="593" t="s">
        <v>308</v>
      </c>
      <c r="M197" s="593"/>
      <c r="N197" s="593"/>
      <c r="O197" s="593"/>
      <c r="P197" s="593"/>
      <c r="Q197" s="593"/>
      <c r="R197" s="594"/>
      <c r="S197" s="594"/>
    </row>
    <row r="198" spans="1:19" s="365" customFormat="1" ht="20.100000000000001" customHeight="1">
      <c r="A198" s="601"/>
      <c r="B198" s="599" t="s">
        <v>398</v>
      </c>
      <c r="C198" s="599"/>
      <c r="D198" s="600">
        <f>'&lt;参考&gt;●現在の業務の総コスト'!$G$5</f>
        <v>2400</v>
      </c>
      <c r="E198" s="598" t="s">
        <v>399</v>
      </c>
      <c r="F198" s="601"/>
      <c r="G198" s="1518"/>
      <c r="H198" s="1516" t="s">
        <v>279</v>
      </c>
      <c r="I198" s="1516" t="s">
        <v>280</v>
      </c>
      <c r="J198" s="601"/>
      <c r="K198" s="601"/>
      <c r="L198" s="1514" t="s">
        <v>405</v>
      </c>
      <c r="M198" s="1515"/>
      <c r="N198" s="1524" t="str">
        <f>B191</f>
        <v>ＡＳＰ活用タイプⅠ</v>
      </c>
      <c r="O198" s="1524"/>
      <c r="P198" s="1524"/>
      <c r="Q198" s="1524"/>
      <c r="R198" s="590"/>
      <c r="S198" s="601"/>
    </row>
    <row r="199" spans="1:19" s="365" customFormat="1" ht="20.100000000000001" customHeight="1">
      <c r="A199" s="601"/>
      <c r="B199" s="599" t="s">
        <v>34</v>
      </c>
      <c r="C199" s="599"/>
      <c r="D199" s="600">
        <f>'&lt;参考&gt;●現在の業務の総コスト'!$O$6</f>
        <v>0</v>
      </c>
      <c r="E199" s="598" t="s">
        <v>399</v>
      </c>
      <c r="F199" s="601"/>
      <c r="G199" s="1518"/>
      <c r="H199" s="1517"/>
      <c r="I199" s="1517"/>
      <c r="J199" s="601"/>
      <c r="K199" s="601"/>
      <c r="L199" s="1514" t="s">
        <v>277</v>
      </c>
      <c r="M199" s="1515"/>
      <c r="N199" s="1458" t="str">
        <f ca="1">TEXT(ROUNDDOWN((投資情報!W63*$C$1),-LOG(投資情報!W63)+1),"\#,##0;\-#,##0")&amp;" ～ "&amp;TEXT(ROUNDUP((投資情報!W63*$E$1),-LOG(投資情報!W63)+1),"\#,##0;\-#,##0")</f>
        <v>¥1,300,000 ～ ¥2,200,000</v>
      </c>
      <c r="O199" s="1458"/>
      <c r="P199" s="1458"/>
      <c r="Q199" s="1458"/>
      <c r="R199" s="590"/>
      <c r="S199" s="601"/>
    </row>
    <row r="200" spans="1:19" s="365" customFormat="1" ht="20.100000000000001" customHeight="1">
      <c r="A200" s="601"/>
      <c r="B200" s="601"/>
      <c r="C200" s="601"/>
      <c r="D200" s="601"/>
      <c r="E200" s="601"/>
      <c r="F200" s="601"/>
      <c r="G200" s="602">
        <f>$G$117</f>
        <v>1</v>
      </c>
      <c r="H200" s="603">
        <f>$H$117</f>
        <v>0.2</v>
      </c>
      <c r="I200" s="603">
        <f>$I$117</f>
        <v>0</v>
      </c>
      <c r="J200" s="601"/>
      <c r="K200" s="601"/>
      <c r="L200" s="1514" t="s">
        <v>278</v>
      </c>
      <c r="M200" s="1515"/>
      <c r="N200" s="1458" t="str">
        <f ca="1">TEXT(ROUNDDOWN((投資情報!W64/12*$C$1),-LOG(投資情報!W64/12)+1),"\#,##0;\-#,##0")&amp;" ～ "&amp;TEXT(ROUNDUP((投資情報!W64/12*$E$1),-LOG(投資情報!W64/12)+1),"\#,##0;\-#,##0")</f>
        <v>¥18,000 ～ ¥30,000</v>
      </c>
      <c r="O200" s="1458"/>
      <c r="P200" s="1458"/>
      <c r="Q200" s="1458"/>
      <c r="R200" s="590"/>
      <c r="S200" s="601"/>
    </row>
    <row r="201" spans="1:19" s="365" customFormat="1" ht="20.100000000000001" customHeight="1">
      <c r="A201" s="601"/>
      <c r="B201" s="601"/>
      <c r="C201" s="601"/>
      <c r="D201" s="601"/>
      <c r="E201" s="601"/>
      <c r="F201" s="594"/>
      <c r="G201" s="602">
        <f>$G$118</f>
        <v>3</v>
      </c>
      <c r="H201" s="603">
        <f>$H$118</f>
        <v>0.4</v>
      </c>
      <c r="I201" s="603">
        <f>$I$118</f>
        <v>0</v>
      </c>
      <c r="J201" s="601"/>
      <c r="K201" s="601"/>
      <c r="L201" s="1514" t="s">
        <v>395</v>
      </c>
      <c r="M201" s="1515"/>
      <c r="N201" s="1517" t="str">
        <f>"ハードウェア "&amp;投資情報!$I$4&amp;" 年毎更新"</f>
        <v>ハードウェア 5 年毎更新</v>
      </c>
      <c r="O201" s="1517"/>
      <c r="P201" s="1517"/>
      <c r="Q201" s="1517"/>
      <c r="R201" s="590"/>
      <c r="S201" s="601"/>
    </row>
    <row r="202" spans="1:19" s="365" customFormat="1" ht="20.100000000000001" customHeight="1">
      <c r="A202" s="601"/>
      <c r="B202" s="601"/>
      <c r="C202" s="601"/>
      <c r="D202" s="601"/>
      <c r="E202" s="601"/>
      <c r="F202" s="601"/>
      <c r="G202" s="602">
        <f>$G$119</f>
        <v>5</v>
      </c>
      <c r="H202" s="603">
        <f>$H$119</f>
        <v>0.6</v>
      </c>
      <c r="I202" s="603">
        <f>$I$119</f>
        <v>0</v>
      </c>
      <c r="J202" s="590"/>
      <c r="K202" s="601"/>
      <c r="L202" s="590"/>
      <c r="M202" s="590"/>
      <c r="N202" s="590"/>
      <c r="O202" s="590"/>
      <c r="P202" s="590"/>
      <c r="Q202" s="590"/>
      <c r="R202" s="590"/>
      <c r="S202" s="601"/>
    </row>
    <row r="203" spans="1:19" ht="20.100000000000001" customHeight="1">
      <c r="A203" s="590"/>
      <c r="B203" s="590"/>
      <c r="C203" s="590"/>
      <c r="D203" s="590"/>
      <c r="E203" s="590"/>
      <c r="F203" s="601"/>
      <c r="G203" s="590"/>
      <c r="H203" s="590"/>
      <c r="I203" s="590"/>
      <c r="J203" s="590"/>
      <c r="K203" s="590"/>
      <c r="L203" s="593" t="s">
        <v>317</v>
      </c>
      <c r="M203" s="604"/>
      <c r="N203" s="605"/>
      <c r="O203" s="605"/>
      <c r="P203" s="605"/>
      <c r="Q203" s="604"/>
      <c r="R203" s="590"/>
      <c r="S203" s="590"/>
    </row>
    <row r="204" spans="1:19" ht="20.100000000000001" customHeight="1">
      <c r="A204" s="590"/>
      <c r="B204" s="590"/>
      <c r="C204" s="590"/>
      <c r="D204" s="590"/>
      <c r="E204" s="590"/>
      <c r="F204" s="590"/>
      <c r="G204" s="590"/>
      <c r="H204" s="590"/>
      <c r="I204" s="590"/>
      <c r="J204" s="590"/>
      <c r="K204" s="590"/>
      <c r="L204" s="1514" t="s">
        <v>309</v>
      </c>
      <c r="M204" s="1515"/>
      <c r="N204" s="1539">
        <f>投資情報!$N$67</f>
        <v>0</v>
      </c>
      <c r="O204" s="1539"/>
      <c r="P204" s="1539"/>
      <c r="Q204" s="1539"/>
      <c r="R204" s="590"/>
      <c r="S204" s="590"/>
    </row>
    <row r="205" spans="1:19" ht="20.100000000000001" customHeight="1">
      <c r="A205" s="590"/>
      <c r="B205" s="606"/>
      <c r="C205" s="1552"/>
      <c r="D205" s="1552"/>
      <c r="E205" s="1507"/>
      <c r="F205" s="1507"/>
      <c r="G205" s="590"/>
      <c r="H205" s="590"/>
      <c r="I205" s="590"/>
      <c r="J205" s="590"/>
      <c r="K205" s="590"/>
      <c r="L205" s="1514" t="s">
        <v>310</v>
      </c>
      <c r="M205" s="1515"/>
      <c r="N205" s="1529" t="str">
        <f>投資情報!$N$68&amp;"人日／初年度 + "&amp;投資情報!$N$69&amp;"人日／年"</f>
        <v>0人日／初年度 + 0人日／年</v>
      </c>
      <c r="O205" s="1529"/>
      <c r="P205" s="1529"/>
      <c r="Q205" s="1529"/>
      <c r="R205" s="590"/>
      <c r="S205" s="590"/>
    </row>
    <row r="206" spans="1:19" ht="20.100000000000001" customHeight="1">
      <c r="A206" s="590"/>
      <c r="B206" s="606"/>
      <c r="C206" s="1552"/>
      <c r="D206" s="1552"/>
      <c r="E206" s="1507"/>
      <c r="F206" s="1507"/>
      <c r="G206" s="607"/>
      <c r="H206" s="590"/>
      <c r="I206" s="590"/>
      <c r="J206" s="590"/>
      <c r="K206" s="590"/>
      <c r="L206" s="1514" t="s">
        <v>311</v>
      </c>
      <c r="M206" s="1515"/>
      <c r="N206" s="1528">
        <f>投資情報!$N$70</f>
        <v>0</v>
      </c>
      <c r="O206" s="1528"/>
      <c r="P206" s="1528"/>
      <c r="Q206" s="1528"/>
      <c r="R206" s="590"/>
      <c r="S206" s="590"/>
    </row>
    <row r="207" spans="1:19" ht="20.100000000000001" customHeight="1">
      <c r="A207" s="590"/>
      <c r="B207" s="590"/>
      <c r="C207" s="590"/>
      <c r="D207" s="590"/>
      <c r="E207" s="590"/>
      <c r="F207" s="590"/>
      <c r="G207" s="590"/>
      <c r="H207" s="607"/>
      <c r="I207" s="590"/>
      <c r="J207" s="590"/>
      <c r="K207" s="590"/>
      <c r="L207" s="1514" t="s">
        <v>312</v>
      </c>
      <c r="M207" s="1515"/>
      <c r="N207" s="1528">
        <f>投資情報!$N$71</f>
        <v>0</v>
      </c>
      <c r="O207" s="1528"/>
      <c r="P207" s="1528"/>
      <c r="Q207" s="1528"/>
      <c r="R207" s="590"/>
      <c r="S207" s="590"/>
    </row>
    <row r="208" spans="1:19">
      <c r="A208" s="590"/>
      <c r="B208" s="590"/>
      <c r="C208" s="590"/>
      <c r="D208" s="590"/>
      <c r="E208" s="590"/>
      <c r="F208" s="590"/>
      <c r="G208" s="590"/>
      <c r="H208" s="607"/>
      <c r="I208" s="590"/>
      <c r="J208" s="590"/>
      <c r="K208" s="590"/>
      <c r="L208" s="590"/>
      <c r="M208" s="590"/>
      <c r="N208" s="590"/>
      <c r="O208" s="590"/>
      <c r="P208" s="590"/>
      <c r="Q208" s="590"/>
      <c r="R208" s="590"/>
      <c r="S208" s="607"/>
    </row>
    <row r="209" spans="1:19" ht="18" customHeight="1" thickBot="1">
      <c r="A209" s="590"/>
      <c r="B209" s="590"/>
      <c r="C209" s="590"/>
      <c r="D209" s="590"/>
      <c r="E209" s="590"/>
      <c r="F209" s="590"/>
      <c r="G209" s="590"/>
      <c r="H209" s="590"/>
      <c r="I209" s="590"/>
      <c r="J209" s="590"/>
      <c r="K209" s="590"/>
      <c r="L209" s="590"/>
      <c r="M209" s="590"/>
      <c r="N209" s="590"/>
      <c r="O209" s="590"/>
      <c r="P209" s="590"/>
      <c r="Q209" s="608" t="s">
        <v>808</v>
      </c>
      <c r="R209" s="590"/>
      <c r="S209" s="590"/>
    </row>
    <row r="210" spans="1:19" s="370" customFormat="1" ht="21.75" thickBot="1">
      <c r="A210" s="609"/>
      <c r="B210" s="609"/>
      <c r="C210" s="609"/>
      <c r="D210" s="1549" t="s">
        <v>276</v>
      </c>
      <c r="E210" s="1550"/>
      <c r="F210" s="1551"/>
      <c r="G210" s="610" t="s">
        <v>313</v>
      </c>
      <c r="H210" s="611" t="s">
        <v>236</v>
      </c>
      <c r="I210" s="611" t="s">
        <v>237</v>
      </c>
      <c r="J210" s="611" t="s">
        <v>238</v>
      </c>
      <c r="K210" s="611" t="s">
        <v>239</v>
      </c>
      <c r="L210" s="611" t="s">
        <v>240</v>
      </c>
      <c r="M210" s="611" t="s">
        <v>241</v>
      </c>
      <c r="N210" s="611" t="s">
        <v>242</v>
      </c>
      <c r="O210" s="611" t="s">
        <v>243</v>
      </c>
      <c r="P210" s="611" t="s">
        <v>244</v>
      </c>
      <c r="Q210" s="612" t="s">
        <v>245</v>
      </c>
      <c r="R210" s="609"/>
      <c r="S210" s="609"/>
    </row>
    <row r="211" spans="1:19" s="370" customFormat="1" ht="24" customHeight="1">
      <c r="A211" s="609"/>
      <c r="B211" s="609"/>
      <c r="C211" s="609"/>
      <c r="D211" s="1498" t="s">
        <v>269</v>
      </c>
      <c r="E211" s="1499"/>
      <c r="F211" s="1500"/>
      <c r="G211" s="613">
        <f>$G$6</f>
        <v>1</v>
      </c>
      <c r="H211" s="614">
        <f>$H$6</f>
        <v>1</v>
      </c>
      <c r="I211" s="614">
        <f>$I$6</f>
        <v>1</v>
      </c>
      <c r="J211" s="614">
        <f>$J$6</f>
        <v>1</v>
      </c>
      <c r="K211" s="614">
        <f>$K$6</f>
        <v>1</v>
      </c>
      <c r="L211" s="614">
        <f>$L$6</f>
        <v>1</v>
      </c>
      <c r="M211" s="614">
        <f>$M$6</f>
        <v>1</v>
      </c>
      <c r="N211" s="614">
        <f>$N$6</f>
        <v>1</v>
      </c>
      <c r="O211" s="614">
        <f>$O$6</f>
        <v>1</v>
      </c>
      <c r="P211" s="614">
        <f>$P$6</f>
        <v>1</v>
      </c>
      <c r="Q211" s="614">
        <f>$Q$6</f>
        <v>1</v>
      </c>
      <c r="R211" s="609"/>
      <c r="S211" s="609"/>
    </row>
    <row r="212" spans="1:19" s="370" customFormat="1" ht="24" customHeight="1">
      <c r="A212" s="609"/>
      <c r="B212" s="609"/>
      <c r="C212" s="609"/>
      <c r="D212" s="1501" t="s">
        <v>274</v>
      </c>
      <c r="E212" s="1502"/>
      <c r="F212" s="1503"/>
      <c r="G212" s="615">
        <f>$G$7</f>
        <v>0</v>
      </c>
      <c r="H212" s="616">
        <f>$H$7</f>
        <v>0</v>
      </c>
      <c r="I212" s="616">
        <f>$I$7</f>
        <v>0.31</v>
      </c>
      <c r="J212" s="616">
        <f>$J$7</f>
        <v>0.4</v>
      </c>
      <c r="K212" s="616">
        <f>$K$7</f>
        <v>0.5</v>
      </c>
      <c r="L212" s="616">
        <f>$L$7</f>
        <v>0.6</v>
      </c>
      <c r="M212" s="616">
        <f>$M$7</f>
        <v>0.6</v>
      </c>
      <c r="N212" s="616">
        <f>$N$7</f>
        <v>0.6</v>
      </c>
      <c r="O212" s="616">
        <f>$O$7</f>
        <v>0.6</v>
      </c>
      <c r="P212" s="616">
        <f>$P$7</f>
        <v>0.6</v>
      </c>
      <c r="Q212" s="616">
        <f>$Q$7</f>
        <v>0.6</v>
      </c>
      <c r="R212" s="609"/>
      <c r="S212" s="609"/>
    </row>
    <row r="213" spans="1:19" s="370" customFormat="1" ht="24" customHeight="1" thickBot="1">
      <c r="A213" s="609"/>
      <c r="B213" s="609"/>
      <c r="C213" s="609"/>
      <c r="D213" s="1504" t="s">
        <v>275</v>
      </c>
      <c r="E213" s="1505"/>
      <c r="F213" s="1506"/>
      <c r="G213" s="617">
        <f>$G$8</f>
        <v>0</v>
      </c>
      <c r="H213" s="618">
        <f>$H$8</f>
        <v>0</v>
      </c>
      <c r="I213" s="618">
        <f>$I$8</f>
        <v>0</v>
      </c>
      <c r="J213" s="618">
        <f>$J$8</f>
        <v>0</v>
      </c>
      <c r="K213" s="618">
        <f>$K$8</f>
        <v>0</v>
      </c>
      <c r="L213" s="618">
        <f>$L$8</f>
        <v>0</v>
      </c>
      <c r="M213" s="618">
        <f>$M$8</f>
        <v>0</v>
      </c>
      <c r="N213" s="618">
        <f>$N$8</f>
        <v>0</v>
      </c>
      <c r="O213" s="618">
        <f>$O$8</f>
        <v>0</v>
      </c>
      <c r="P213" s="618">
        <f>$P$8</f>
        <v>0</v>
      </c>
      <c r="Q213" s="618">
        <f>$Q$8</f>
        <v>0</v>
      </c>
      <c r="R213" s="609"/>
      <c r="S213" s="609"/>
    </row>
    <row r="214" spans="1:19" ht="31.5" customHeight="1" thickBot="1">
      <c r="A214" s="590"/>
      <c r="B214" s="590"/>
      <c r="C214" s="590"/>
      <c r="D214" s="619" t="s">
        <v>323</v>
      </c>
      <c r="E214" s="1508" t="s">
        <v>170</v>
      </c>
      <c r="F214" s="1509"/>
      <c r="G214" s="620">
        <f t="shared" ref="G214:Q214" ca="1" si="10">G223/1000</f>
        <v>0</v>
      </c>
      <c r="H214" s="621">
        <f t="shared" ca="1" si="10"/>
        <v>0</v>
      </c>
      <c r="I214" s="621">
        <f t="shared" ca="1" si="10"/>
        <v>695.3610000000009</v>
      </c>
      <c r="J214" s="621">
        <f t="shared" ca="1" si="10"/>
        <v>897.24</v>
      </c>
      <c r="K214" s="621">
        <f t="shared" ca="1" si="10"/>
        <v>1121.55</v>
      </c>
      <c r="L214" s="621">
        <f t="shared" ca="1" si="10"/>
        <v>1345.86</v>
      </c>
      <c r="M214" s="621">
        <f t="shared" ca="1" si="10"/>
        <v>1345.86</v>
      </c>
      <c r="N214" s="621">
        <f t="shared" ca="1" si="10"/>
        <v>1345.86</v>
      </c>
      <c r="O214" s="621">
        <f t="shared" ca="1" si="10"/>
        <v>1345.86</v>
      </c>
      <c r="P214" s="621">
        <f t="shared" ca="1" si="10"/>
        <v>1345.86</v>
      </c>
      <c r="Q214" s="622">
        <f t="shared" ca="1" si="10"/>
        <v>1345.86</v>
      </c>
      <c r="R214" s="590"/>
      <c r="S214" s="607"/>
    </row>
    <row r="215" spans="1:19" ht="31.5" customHeight="1">
      <c r="A215" s="590"/>
      <c r="B215" s="590"/>
      <c r="C215" s="590"/>
      <c r="D215" s="623" t="s">
        <v>324</v>
      </c>
      <c r="E215" s="1547" t="s">
        <v>322</v>
      </c>
      <c r="F215" s="1548"/>
      <c r="G215" s="624">
        <f t="shared" ref="G215:Q215" si="11">G227/1000</f>
        <v>0</v>
      </c>
      <c r="H215" s="625">
        <f t="shared" si="11"/>
        <v>0</v>
      </c>
      <c r="I215" s="625">
        <f t="shared" si="11"/>
        <v>0</v>
      </c>
      <c r="J215" s="625">
        <f t="shared" si="11"/>
        <v>0</v>
      </c>
      <c r="K215" s="625">
        <f t="shared" si="11"/>
        <v>0</v>
      </c>
      <c r="L215" s="625">
        <f t="shared" si="11"/>
        <v>0</v>
      </c>
      <c r="M215" s="625">
        <f t="shared" si="11"/>
        <v>0</v>
      </c>
      <c r="N215" s="625">
        <f t="shared" si="11"/>
        <v>0</v>
      </c>
      <c r="O215" s="625">
        <f t="shared" si="11"/>
        <v>0</v>
      </c>
      <c r="P215" s="625">
        <f t="shared" si="11"/>
        <v>0</v>
      </c>
      <c r="Q215" s="626">
        <f t="shared" si="11"/>
        <v>0</v>
      </c>
      <c r="R215" s="590"/>
      <c r="S215" s="607"/>
    </row>
    <row r="216" spans="1:19" ht="31.5" customHeight="1">
      <c r="A216" s="590"/>
      <c r="B216" s="590"/>
      <c r="C216" s="590"/>
      <c r="D216" s="627"/>
      <c r="E216" s="1545" t="s">
        <v>316</v>
      </c>
      <c r="F216" s="1546"/>
      <c r="G216" s="628">
        <f t="shared" ref="G216:Q216" si="12">G226/1000</f>
        <v>0</v>
      </c>
      <c r="H216" s="629">
        <f t="shared" si="12"/>
        <v>-1630</v>
      </c>
      <c r="I216" s="629">
        <f t="shared" si="12"/>
        <v>0</v>
      </c>
      <c r="J216" s="629">
        <f t="shared" si="12"/>
        <v>0</v>
      </c>
      <c r="K216" s="629">
        <f t="shared" si="12"/>
        <v>0</v>
      </c>
      <c r="L216" s="629">
        <f t="shared" si="12"/>
        <v>0</v>
      </c>
      <c r="M216" s="629">
        <f t="shared" si="12"/>
        <v>0</v>
      </c>
      <c r="N216" s="629">
        <f t="shared" si="12"/>
        <v>0</v>
      </c>
      <c r="O216" s="629">
        <f t="shared" si="12"/>
        <v>0</v>
      </c>
      <c r="P216" s="629">
        <f t="shared" si="12"/>
        <v>0</v>
      </c>
      <c r="Q216" s="630">
        <f t="shared" si="12"/>
        <v>0</v>
      </c>
      <c r="R216" s="590"/>
      <c r="S216" s="607"/>
    </row>
    <row r="217" spans="1:19" ht="31.5" customHeight="1">
      <c r="A217" s="590"/>
      <c r="B217" s="590"/>
      <c r="C217" s="590"/>
      <c r="D217" s="627"/>
      <c r="E217" s="1545" t="s">
        <v>319</v>
      </c>
      <c r="F217" s="1546"/>
      <c r="G217" s="628">
        <f t="shared" ref="G217:Q217" si="13">G225/1000</f>
        <v>0</v>
      </c>
      <c r="H217" s="629">
        <f t="shared" si="13"/>
        <v>-270</v>
      </c>
      <c r="I217" s="629">
        <f t="shared" si="13"/>
        <v>-270</v>
      </c>
      <c r="J217" s="629">
        <f t="shared" si="13"/>
        <v>-270</v>
      </c>
      <c r="K217" s="629">
        <f t="shared" si="13"/>
        <v>-270</v>
      </c>
      <c r="L217" s="629">
        <f t="shared" si="13"/>
        <v>-270</v>
      </c>
      <c r="M217" s="629">
        <f t="shared" si="13"/>
        <v>-270</v>
      </c>
      <c r="N217" s="629">
        <f t="shared" si="13"/>
        <v>-270</v>
      </c>
      <c r="O217" s="629">
        <f t="shared" si="13"/>
        <v>-270</v>
      </c>
      <c r="P217" s="629">
        <f t="shared" si="13"/>
        <v>-270</v>
      </c>
      <c r="Q217" s="630">
        <f t="shared" si="13"/>
        <v>-270</v>
      </c>
      <c r="R217" s="590"/>
      <c r="S217" s="607"/>
    </row>
    <row r="218" spans="1:19" ht="31.5" customHeight="1" thickBot="1">
      <c r="A218" s="590"/>
      <c r="B218" s="590"/>
      <c r="C218" s="590"/>
      <c r="D218" s="631"/>
      <c r="E218" s="1543" t="s">
        <v>318</v>
      </c>
      <c r="F218" s="1544"/>
      <c r="G218" s="632">
        <f t="shared" ref="G218:Q218" si="14">G224/1000</f>
        <v>0</v>
      </c>
      <c r="H218" s="633">
        <f t="shared" si="14"/>
        <v>0</v>
      </c>
      <c r="I218" s="633">
        <f t="shared" si="14"/>
        <v>0</v>
      </c>
      <c r="J218" s="633">
        <f t="shared" si="14"/>
        <v>0</v>
      </c>
      <c r="K218" s="633">
        <f t="shared" si="14"/>
        <v>0</v>
      </c>
      <c r="L218" s="633">
        <f t="shared" si="14"/>
        <v>0</v>
      </c>
      <c r="M218" s="633">
        <f t="shared" si="14"/>
        <v>0</v>
      </c>
      <c r="N218" s="633">
        <f t="shared" si="14"/>
        <v>0</v>
      </c>
      <c r="O218" s="633">
        <f t="shared" si="14"/>
        <v>0</v>
      </c>
      <c r="P218" s="633">
        <f t="shared" si="14"/>
        <v>0</v>
      </c>
      <c r="Q218" s="634">
        <f t="shared" si="14"/>
        <v>0</v>
      </c>
      <c r="R218" s="590"/>
      <c r="S218" s="607"/>
    </row>
    <row r="219" spans="1:19">
      <c r="A219" s="590"/>
      <c r="B219" s="590"/>
      <c r="C219" s="590"/>
      <c r="D219" s="590"/>
      <c r="E219" s="590"/>
      <c r="F219" s="590"/>
      <c r="G219" s="590"/>
      <c r="H219" s="590"/>
      <c r="I219" s="590"/>
      <c r="J219" s="590"/>
      <c r="K219" s="590"/>
      <c r="L219" s="590"/>
      <c r="M219" s="590"/>
      <c r="N219" s="590"/>
      <c r="O219" s="590"/>
      <c r="P219" s="590"/>
      <c r="Q219" s="590"/>
      <c r="R219" s="590"/>
      <c r="S219" s="590"/>
    </row>
    <row r="220" spans="1:19">
      <c r="A220" s="590"/>
      <c r="B220" s="590"/>
      <c r="C220" s="590"/>
      <c r="D220" s="590"/>
      <c r="E220" s="590"/>
      <c r="F220" s="590"/>
      <c r="G220" s="590"/>
      <c r="H220" s="590"/>
      <c r="I220" s="590"/>
      <c r="J220" s="590"/>
      <c r="K220" s="590"/>
      <c r="L220" s="590"/>
      <c r="M220" s="590"/>
      <c r="N220" s="590"/>
      <c r="O220" s="590"/>
      <c r="P220" s="590"/>
      <c r="Q220" s="590"/>
      <c r="R220" s="590"/>
      <c r="S220" s="590"/>
    </row>
    <row r="221" spans="1:19">
      <c r="A221" s="590"/>
      <c r="B221" s="590"/>
      <c r="C221" s="590"/>
      <c r="D221" s="590"/>
      <c r="E221" s="590"/>
      <c r="F221" s="590"/>
      <c r="G221" s="590"/>
      <c r="H221" s="590"/>
      <c r="I221" s="590"/>
      <c r="J221" s="590"/>
      <c r="K221" s="590"/>
      <c r="L221" s="590"/>
      <c r="M221" s="590"/>
      <c r="N221" s="590"/>
      <c r="O221" s="590"/>
      <c r="P221" s="590"/>
      <c r="Q221" s="590"/>
      <c r="R221" s="590"/>
      <c r="S221" s="590"/>
    </row>
    <row r="222" spans="1:19" s="370" customFormat="1">
      <c r="A222" s="609"/>
      <c r="B222" s="609"/>
      <c r="C222" s="609"/>
      <c r="D222" s="609"/>
      <c r="E222" s="609"/>
      <c r="F222" s="635"/>
      <c r="G222" s="635" t="s">
        <v>313</v>
      </c>
      <c r="H222" s="635" t="s">
        <v>236</v>
      </c>
      <c r="I222" s="635" t="s">
        <v>237</v>
      </c>
      <c r="J222" s="635" t="s">
        <v>238</v>
      </c>
      <c r="K222" s="635" t="s">
        <v>239</v>
      </c>
      <c r="L222" s="635" t="s">
        <v>240</v>
      </c>
      <c r="M222" s="635" t="s">
        <v>241</v>
      </c>
      <c r="N222" s="635" t="s">
        <v>242</v>
      </c>
      <c r="O222" s="635" t="s">
        <v>243</v>
      </c>
      <c r="P222" s="635" t="s">
        <v>244</v>
      </c>
      <c r="Q222" s="635" t="s">
        <v>245</v>
      </c>
      <c r="R222" s="609"/>
      <c r="S222" s="609"/>
    </row>
    <row r="223" spans="1:19" s="370" customFormat="1">
      <c r="A223" s="609"/>
      <c r="B223" s="609"/>
      <c r="C223" s="609"/>
      <c r="D223" s="609"/>
      <c r="E223" s="609"/>
      <c r="F223" s="636" t="s">
        <v>170</v>
      </c>
      <c r="G223" s="636">
        <f ca="1">'&lt;参考&gt;●総コスト算出WS'!$E$43*$G$6</f>
        <v>0</v>
      </c>
      <c r="H223" s="636">
        <f ca="1">'&lt;参考&gt;●総コスト算出WS'!$F$43*$H$6</f>
        <v>0</v>
      </c>
      <c r="I223" s="636">
        <f ca="1">'&lt;参考&gt;●総コスト算出WS'!$G$43*$I$6</f>
        <v>695361.00000000093</v>
      </c>
      <c r="J223" s="636">
        <f ca="1">'&lt;参考&gt;●総コスト算出WS'!$H$43*$J$6</f>
        <v>897240</v>
      </c>
      <c r="K223" s="636">
        <f ca="1">'&lt;参考&gt;●総コスト算出WS'!$I$43*$K$6</f>
        <v>1121550</v>
      </c>
      <c r="L223" s="636">
        <f ca="1">'&lt;参考&gt;●総コスト算出WS'!$J$43*$L$6</f>
        <v>1345860</v>
      </c>
      <c r="M223" s="636">
        <f ca="1">'&lt;参考&gt;●総コスト算出WS'!$K$43*$M$6</f>
        <v>1345860</v>
      </c>
      <c r="N223" s="636">
        <f ca="1">'&lt;参考&gt;●総コスト算出WS'!$L$43*$N$6</f>
        <v>1345860</v>
      </c>
      <c r="O223" s="636">
        <f ca="1">'&lt;参考&gt;●総コスト算出WS'!$M$43*$O$6</f>
        <v>1345860</v>
      </c>
      <c r="P223" s="636">
        <f ca="1">'&lt;参考&gt;●総コスト算出WS'!$N$43*$P$6</f>
        <v>1345860</v>
      </c>
      <c r="Q223" s="636">
        <f ca="1">'&lt;参考&gt;●総コスト算出WS'!$O$43*$Q$6</f>
        <v>1345860</v>
      </c>
      <c r="R223" s="609"/>
      <c r="S223" s="609"/>
    </row>
    <row r="224" spans="1:19" s="370" customFormat="1">
      <c r="A224" s="609"/>
      <c r="B224" s="609"/>
      <c r="C224" s="609"/>
      <c r="D224" s="609"/>
      <c r="E224" s="609"/>
      <c r="F224" s="636" t="s">
        <v>318</v>
      </c>
      <c r="G224" s="636">
        <f>-(SUM('&lt;参考&gt;●総コスト算出WS'!E87:E90)+SUM('&lt;参考&gt;●総コスト算出WS'!E100:E102))</f>
        <v>0</v>
      </c>
      <c r="H224" s="636">
        <f>-(SUM('&lt;参考&gt;●総コスト算出WS'!F87:F90)+SUM('&lt;参考&gt;●総コスト算出WS'!F100:F102))</f>
        <v>0</v>
      </c>
      <c r="I224" s="636">
        <f>-(SUM('&lt;参考&gt;●総コスト算出WS'!G87:G90)+SUM('&lt;参考&gt;●総コスト算出WS'!G100:G102))</f>
        <v>0</v>
      </c>
      <c r="J224" s="636">
        <f>-(SUM('&lt;参考&gt;●総コスト算出WS'!H87:H90)+SUM('&lt;参考&gt;●総コスト算出WS'!H100:H102))</f>
        <v>0</v>
      </c>
      <c r="K224" s="636">
        <f>-(SUM('&lt;参考&gt;●総コスト算出WS'!I87:I90)+SUM('&lt;参考&gt;●総コスト算出WS'!I100:I102))</f>
        <v>0</v>
      </c>
      <c r="L224" s="636">
        <f>-(SUM('&lt;参考&gt;●総コスト算出WS'!J87:J90)+SUM('&lt;参考&gt;●総コスト算出WS'!J100:J102))</f>
        <v>0</v>
      </c>
      <c r="M224" s="636">
        <f>-(SUM('&lt;参考&gt;●総コスト算出WS'!K87:K90)+SUM('&lt;参考&gt;●総コスト算出WS'!K100:K102))</f>
        <v>0</v>
      </c>
      <c r="N224" s="636">
        <f>-(SUM('&lt;参考&gt;●総コスト算出WS'!L87:L90)+SUM('&lt;参考&gt;●総コスト算出WS'!L100:L102))</f>
        <v>0</v>
      </c>
      <c r="O224" s="636">
        <f>-(SUM('&lt;参考&gt;●総コスト算出WS'!M87:M90)+SUM('&lt;参考&gt;●総コスト算出WS'!M100:M102))</f>
        <v>0</v>
      </c>
      <c r="P224" s="636">
        <f>-(SUM('&lt;参考&gt;●総コスト算出WS'!N87:N90)+SUM('&lt;参考&gt;●総コスト算出WS'!N100:N102))</f>
        <v>0</v>
      </c>
      <c r="Q224" s="636">
        <f>-(SUM('&lt;参考&gt;●総コスト算出WS'!O87:O90)+SUM('&lt;参考&gt;●総コスト算出WS'!O100:O102))</f>
        <v>0</v>
      </c>
      <c r="R224" s="609"/>
      <c r="S224" s="609"/>
    </row>
    <row r="225" spans="1:19" s="370" customFormat="1">
      <c r="A225" s="609"/>
      <c r="B225" s="609"/>
      <c r="C225" s="609"/>
      <c r="D225" s="609"/>
      <c r="E225" s="609"/>
      <c r="F225" s="636" t="s">
        <v>807</v>
      </c>
      <c r="G225" s="636">
        <f>-(SUM('&lt;参考&gt;●総コスト算出WS'!E93:E99))</f>
        <v>0</v>
      </c>
      <c r="H225" s="636">
        <f>-(SUM('&lt;参考&gt;●総コスト算出WS'!F93:F99))</f>
        <v>-270000</v>
      </c>
      <c r="I225" s="636">
        <f>-(SUM('&lt;参考&gt;●総コスト算出WS'!G93:G99))</f>
        <v>-270000</v>
      </c>
      <c r="J225" s="636">
        <f>-(SUM('&lt;参考&gt;●総コスト算出WS'!H93:H99))</f>
        <v>-270000</v>
      </c>
      <c r="K225" s="636">
        <f>-(SUM('&lt;参考&gt;●総コスト算出WS'!I93:I99))</f>
        <v>-270000</v>
      </c>
      <c r="L225" s="636">
        <f>-(SUM('&lt;参考&gt;●総コスト算出WS'!J93:J99))</f>
        <v>-270000</v>
      </c>
      <c r="M225" s="636">
        <f>-(SUM('&lt;参考&gt;●総コスト算出WS'!K93:K99))</f>
        <v>-270000</v>
      </c>
      <c r="N225" s="636">
        <f>-(SUM('&lt;参考&gt;●総コスト算出WS'!L93:L99))</f>
        <v>-270000</v>
      </c>
      <c r="O225" s="636">
        <f>-(SUM('&lt;参考&gt;●総コスト算出WS'!M93:M99))</f>
        <v>-270000</v>
      </c>
      <c r="P225" s="636">
        <f>-(SUM('&lt;参考&gt;●総コスト算出WS'!N93:N99))</f>
        <v>-270000</v>
      </c>
      <c r="Q225" s="636">
        <f>-(SUM('&lt;参考&gt;●総コスト算出WS'!O93:O99))</f>
        <v>-270000</v>
      </c>
      <c r="R225" s="609"/>
      <c r="S225" s="609"/>
    </row>
    <row r="226" spans="1:19" s="370" customFormat="1">
      <c r="A226" s="609"/>
      <c r="B226" s="609"/>
      <c r="C226" s="609"/>
      <c r="D226" s="609"/>
      <c r="E226" s="609"/>
      <c r="F226" s="636" t="s">
        <v>316</v>
      </c>
      <c r="G226" s="636">
        <f>-(SUM('&lt;参考&gt;●総コスト算出WS'!E80:E86))</f>
        <v>0</v>
      </c>
      <c r="H226" s="636">
        <f>-(SUM('&lt;参考&gt;●総コスト算出WS'!F80:F86))</f>
        <v>-1630000</v>
      </c>
      <c r="I226" s="636">
        <f>-(SUM('&lt;参考&gt;●総コスト算出WS'!G80:G86))</f>
        <v>0</v>
      </c>
      <c r="J226" s="636">
        <f>-(SUM('&lt;参考&gt;●総コスト算出WS'!H80:H86))</f>
        <v>0</v>
      </c>
      <c r="K226" s="636">
        <f>-(SUM('&lt;参考&gt;●総コスト算出WS'!I80:I86))</f>
        <v>0</v>
      </c>
      <c r="L226" s="636">
        <f>-(SUM('&lt;参考&gt;●総コスト算出WS'!J80:J86))</f>
        <v>0</v>
      </c>
      <c r="M226" s="636">
        <f>-(SUM('&lt;参考&gt;●総コスト算出WS'!K80:K86))</f>
        <v>0</v>
      </c>
      <c r="N226" s="636">
        <f>-(SUM('&lt;参考&gt;●総コスト算出WS'!L80:L86))</f>
        <v>0</v>
      </c>
      <c r="O226" s="636">
        <f>-(SUM('&lt;参考&gt;●総コスト算出WS'!M80:M86))</f>
        <v>0</v>
      </c>
      <c r="P226" s="636">
        <f>-(SUM('&lt;参考&gt;●総コスト算出WS'!N80:N86))</f>
        <v>0</v>
      </c>
      <c r="Q226" s="636">
        <f>-(SUM('&lt;参考&gt;●総コスト算出WS'!O80:O86))</f>
        <v>0</v>
      </c>
      <c r="R226" s="609"/>
      <c r="S226" s="609"/>
    </row>
    <row r="227" spans="1:19" s="370" customFormat="1">
      <c r="A227" s="609"/>
      <c r="B227" s="609"/>
      <c r="C227" s="609"/>
      <c r="D227" s="609"/>
      <c r="E227" s="609"/>
      <c r="F227" s="636" t="s">
        <v>322</v>
      </c>
      <c r="G227" s="636">
        <f>-('&lt;参考&gt;●総コスト算出WS'!E79+'&lt;参考&gt;●総コスト算出WS'!E92)</f>
        <v>0</v>
      </c>
      <c r="H227" s="636">
        <f>-('&lt;参考&gt;●総コスト算出WS'!F79+'&lt;参考&gt;●総コスト算出WS'!F92)</f>
        <v>0</v>
      </c>
      <c r="I227" s="636">
        <f>-('&lt;参考&gt;●総コスト算出WS'!G79+'&lt;参考&gt;●総コスト算出WS'!G92)</f>
        <v>0</v>
      </c>
      <c r="J227" s="636">
        <f>-('&lt;参考&gt;●総コスト算出WS'!H79+'&lt;参考&gt;●総コスト算出WS'!H92)</f>
        <v>0</v>
      </c>
      <c r="K227" s="636">
        <f>-('&lt;参考&gt;●総コスト算出WS'!I79+'&lt;参考&gt;●総コスト算出WS'!I92)</f>
        <v>0</v>
      </c>
      <c r="L227" s="636">
        <f>-('&lt;参考&gt;●総コスト算出WS'!J79+'&lt;参考&gt;●総コスト算出WS'!J92)</f>
        <v>0</v>
      </c>
      <c r="M227" s="636">
        <f>-('&lt;参考&gt;●総コスト算出WS'!K79+'&lt;参考&gt;●総コスト算出WS'!K92)</f>
        <v>0</v>
      </c>
      <c r="N227" s="636">
        <f>-('&lt;参考&gt;●総コスト算出WS'!L79+'&lt;参考&gt;●総コスト算出WS'!L92)</f>
        <v>0</v>
      </c>
      <c r="O227" s="636">
        <f>-('&lt;参考&gt;●総コスト算出WS'!M79+'&lt;参考&gt;●総コスト算出WS'!M92)</f>
        <v>0</v>
      </c>
      <c r="P227" s="636">
        <f>-('&lt;参考&gt;●総コスト算出WS'!N79+'&lt;参考&gt;●総コスト算出WS'!N92)</f>
        <v>0</v>
      </c>
      <c r="Q227" s="636">
        <f>-('&lt;参考&gt;●総コスト算出WS'!O79+'&lt;参考&gt;●総コスト算出WS'!O92)</f>
        <v>0</v>
      </c>
      <c r="R227" s="609"/>
      <c r="S227" s="609"/>
    </row>
    <row r="228" spans="1:19" hidden="1">
      <c r="A228" s="590"/>
      <c r="B228" s="590"/>
      <c r="C228" s="590"/>
      <c r="D228" s="590"/>
      <c r="E228" s="590"/>
      <c r="F228" s="636" t="s">
        <v>320</v>
      </c>
      <c r="G228" s="636">
        <f t="shared" ref="G228:O228" ca="1" si="15">SUM(G223:G227)</f>
        <v>0</v>
      </c>
      <c r="H228" s="636">
        <f t="shared" ca="1" si="15"/>
        <v>-1900000</v>
      </c>
      <c r="I228" s="636">
        <f t="shared" ca="1" si="15"/>
        <v>425361.00000000093</v>
      </c>
      <c r="J228" s="636">
        <f t="shared" ca="1" si="15"/>
        <v>627240</v>
      </c>
      <c r="K228" s="636">
        <f t="shared" ca="1" si="15"/>
        <v>851550</v>
      </c>
      <c r="L228" s="636">
        <f t="shared" ca="1" si="15"/>
        <v>1075860</v>
      </c>
      <c r="M228" s="636">
        <f t="shared" ca="1" si="15"/>
        <v>1075860</v>
      </c>
      <c r="N228" s="636">
        <f t="shared" ca="1" si="15"/>
        <v>1075860</v>
      </c>
      <c r="O228" s="636">
        <f t="shared" ca="1" si="15"/>
        <v>1075860</v>
      </c>
      <c r="P228" s="636">
        <f ca="1">SUM(P223:P227)</f>
        <v>1075860</v>
      </c>
      <c r="Q228" s="636">
        <f ca="1">SUM(Q223:Q227)</f>
        <v>1075860</v>
      </c>
      <c r="R228" s="590"/>
      <c r="S228" s="607"/>
    </row>
    <row r="229" spans="1:19">
      <c r="A229" s="590"/>
      <c r="B229" s="590"/>
      <c r="C229" s="590"/>
      <c r="D229" s="590"/>
      <c r="E229" s="590"/>
      <c r="F229" s="636" t="s">
        <v>214</v>
      </c>
      <c r="G229" s="636">
        <f ca="1">G228</f>
        <v>0</v>
      </c>
      <c r="H229" s="636">
        <f t="shared" ref="H229:Q229" ca="1" si="16">G229+H228</f>
        <v>-1900000</v>
      </c>
      <c r="I229" s="636">
        <f t="shared" ca="1" si="16"/>
        <v>-1474638.9999999991</v>
      </c>
      <c r="J229" s="636">
        <f t="shared" ca="1" si="16"/>
        <v>-847398.99999999907</v>
      </c>
      <c r="K229" s="636">
        <f t="shared" ca="1" si="16"/>
        <v>4151.0000000009313</v>
      </c>
      <c r="L229" s="636">
        <f t="shared" ca="1" si="16"/>
        <v>1080011.0000000009</v>
      </c>
      <c r="M229" s="636">
        <f t="shared" ca="1" si="16"/>
        <v>2155871.0000000009</v>
      </c>
      <c r="N229" s="636">
        <f t="shared" ca="1" si="16"/>
        <v>3231731.0000000009</v>
      </c>
      <c r="O229" s="636">
        <f t="shared" ca="1" si="16"/>
        <v>4307591.0000000009</v>
      </c>
      <c r="P229" s="636">
        <f t="shared" ca="1" si="16"/>
        <v>5383451.0000000009</v>
      </c>
      <c r="Q229" s="636">
        <f t="shared" ca="1" si="16"/>
        <v>6459311.0000000009</v>
      </c>
      <c r="R229" s="590"/>
      <c r="S229" s="607"/>
    </row>
    <row r="230" spans="1:19" ht="13.5" customHeight="1">
      <c r="A230" s="590"/>
      <c r="B230" s="590"/>
      <c r="C230" s="590"/>
      <c r="D230" s="590"/>
      <c r="E230" s="590"/>
      <c r="F230" s="636" t="s">
        <v>431</v>
      </c>
      <c r="G230" s="637">
        <f>G212</f>
        <v>0</v>
      </c>
      <c r="H230" s="637">
        <f t="shared" ref="H230:Q230" si="17">H212</f>
        <v>0</v>
      </c>
      <c r="I230" s="637">
        <f t="shared" si="17"/>
        <v>0.31</v>
      </c>
      <c r="J230" s="637">
        <f t="shared" si="17"/>
        <v>0.4</v>
      </c>
      <c r="K230" s="637">
        <f t="shared" si="17"/>
        <v>0.5</v>
      </c>
      <c r="L230" s="637">
        <f t="shared" si="17"/>
        <v>0.6</v>
      </c>
      <c r="M230" s="637">
        <f t="shared" si="17"/>
        <v>0.6</v>
      </c>
      <c r="N230" s="637">
        <f t="shared" si="17"/>
        <v>0.6</v>
      </c>
      <c r="O230" s="637">
        <f t="shared" si="17"/>
        <v>0.6</v>
      </c>
      <c r="P230" s="637">
        <f t="shared" si="17"/>
        <v>0.6</v>
      </c>
      <c r="Q230" s="637">
        <f t="shared" si="17"/>
        <v>0.6</v>
      </c>
      <c r="R230" s="590"/>
      <c r="S230" s="607"/>
    </row>
    <row r="231" spans="1:19" ht="13.5" customHeight="1">
      <c r="A231" s="590"/>
      <c r="B231" s="590"/>
      <c r="C231" s="590"/>
      <c r="D231" s="590"/>
      <c r="E231" s="590"/>
      <c r="F231" s="636" t="s">
        <v>432</v>
      </c>
      <c r="G231" s="637">
        <f>G213</f>
        <v>0</v>
      </c>
      <c r="H231" s="637">
        <f t="shared" ref="H231:Q231" si="18">H213</f>
        <v>0</v>
      </c>
      <c r="I231" s="637">
        <f t="shared" si="18"/>
        <v>0</v>
      </c>
      <c r="J231" s="637">
        <f t="shared" si="18"/>
        <v>0</v>
      </c>
      <c r="K231" s="637">
        <f t="shared" si="18"/>
        <v>0</v>
      </c>
      <c r="L231" s="637">
        <f t="shared" si="18"/>
        <v>0</v>
      </c>
      <c r="M231" s="637">
        <f t="shared" si="18"/>
        <v>0</v>
      </c>
      <c r="N231" s="637">
        <f t="shared" si="18"/>
        <v>0</v>
      </c>
      <c r="O231" s="637">
        <f t="shared" si="18"/>
        <v>0</v>
      </c>
      <c r="P231" s="637">
        <f t="shared" si="18"/>
        <v>0</v>
      </c>
      <c r="Q231" s="637">
        <f t="shared" si="18"/>
        <v>0</v>
      </c>
      <c r="R231" s="590"/>
      <c r="S231" s="607"/>
    </row>
    <row r="232" spans="1:19" ht="13.5" customHeight="1">
      <c r="A232" s="590"/>
      <c r="B232" s="590"/>
      <c r="C232" s="590"/>
      <c r="D232" s="590"/>
      <c r="E232" s="590"/>
      <c r="F232" s="638"/>
      <c r="G232" s="638"/>
      <c r="H232" s="638"/>
      <c r="I232" s="638"/>
      <c r="J232" s="638"/>
      <c r="K232" s="638"/>
      <c r="L232" s="638"/>
      <c r="M232" s="638"/>
      <c r="N232" s="638"/>
      <c r="O232" s="638"/>
      <c r="P232" s="638"/>
      <c r="Q232" s="638"/>
      <c r="R232" s="590"/>
      <c r="S232" s="607"/>
    </row>
    <row r="233" spans="1:19" ht="13.5" customHeight="1">
      <c r="A233" s="590"/>
      <c r="B233" s="590"/>
      <c r="C233" s="590"/>
      <c r="D233" s="590"/>
      <c r="E233" s="590"/>
      <c r="F233" s="638"/>
      <c r="G233" s="638"/>
      <c r="H233" s="638"/>
      <c r="I233" s="638"/>
      <c r="J233" s="638"/>
      <c r="K233" s="638"/>
      <c r="L233" s="638"/>
      <c r="M233" s="638"/>
      <c r="N233" s="638"/>
      <c r="O233" s="638"/>
      <c r="P233" s="638"/>
      <c r="Q233" s="638"/>
      <c r="R233" s="590"/>
      <c r="S233" s="607"/>
    </row>
    <row r="234" spans="1:19" ht="13.5" customHeight="1">
      <c r="A234" s="590"/>
      <c r="B234" s="590"/>
      <c r="C234" s="590"/>
      <c r="D234" s="590"/>
      <c r="E234" s="590"/>
      <c r="F234" s="638"/>
      <c r="G234" s="638"/>
      <c r="H234" s="638"/>
      <c r="I234" s="638"/>
      <c r="J234" s="638"/>
      <c r="K234" s="638"/>
      <c r="L234" s="638"/>
      <c r="M234" s="638"/>
      <c r="N234" s="638"/>
      <c r="O234" s="638"/>
      <c r="P234" s="638"/>
      <c r="Q234" s="638"/>
      <c r="R234" s="590"/>
      <c r="S234" s="607"/>
    </row>
    <row r="235" spans="1:19" ht="13.5" customHeight="1">
      <c r="A235" s="590"/>
      <c r="B235" s="590"/>
      <c r="C235" s="590"/>
      <c r="D235" s="590"/>
      <c r="E235" s="590"/>
      <c r="F235" s="638"/>
      <c r="G235" s="638"/>
      <c r="H235" s="638"/>
      <c r="I235" s="638"/>
      <c r="J235" s="638"/>
      <c r="K235" s="638"/>
      <c r="L235" s="638"/>
      <c r="M235" s="638"/>
      <c r="N235" s="638"/>
      <c r="O235" s="638"/>
      <c r="P235" s="638"/>
      <c r="Q235" s="638"/>
      <c r="R235" s="590"/>
      <c r="S235" s="607"/>
    </row>
    <row r="236" spans="1:19" ht="13.5" customHeight="1">
      <c r="A236" s="590"/>
      <c r="B236" s="590"/>
      <c r="C236" s="590"/>
      <c r="D236" s="590"/>
      <c r="E236" s="590"/>
      <c r="F236" s="638"/>
      <c r="G236" s="638"/>
      <c r="H236" s="638"/>
      <c r="I236" s="638"/>
      <c r="J236" s="638"/>
      <c r="K236" s="638"/>
      <c r="L236" s="638"/>
      <c r="M236" s="638"/>
      <c r="N236" s="638"/>
      <c r="O236" s="638"/>
      <c r="P236" s="638"/>
      <c r="Q236" s="638"/>
      <c r="R236" s="590"/>
      <c r="S236" s="607"/>
    </row>
    <row r="237" spans="1:19" ht="13.5" customHeight="1">
      <c r="A237" s="590"/>
      <c r="B237" s="590"/>
      <c r="C237" s="590"/>
      <c r="D237" s="590"/>
      <c r="E237" s="590"/>
      <c r="F237" s="638"/>
      <c r="G237" s="638"/>
      <c r="H237" s="638"/>
      <c r="I237" s="638"/>
      <c r="J237" s="638"/>
      <c r="K237" s="638"/>
      <c r="L237" s="638"/>
      <c r="M237" s="638"/>
      <c r="N237" s="638"/>
      <c r="O237" s="638"/>
      <c r="P237" s="638"/>
      <c r="Q237" s="638"/>
      <c r="R237" s="590"/>
      <c r="S237" s="607"/>
    </row>
    <row r="238" spans="1:19" ht="13.5" customHeight="1">
      <c r="A238" s="590"/>
      <c r="B238" s="590"/>
      <c r="C238" s="590"/>
      <c r="D238" s="590"/>
      <c r="E238" s="590"/>
      <c r="F238" s="638"/>
      <c r="G238" s="638"/>
      <c r="H238" s="638"/>
      <c r="I238" s="638"/>
      <c r="J238" s="638"/>
      <c r="K238" s="638"/>
      <c r="L238" s="638"/>
      <c r="M238" s="638"/>
      <c r="N238" s="638"/>
      <c r="O238" s="638"/>
      <c r="P238" s="638"/>
      <c r="Q238" s="638"/>
      <c r="R238" s="590"/>
      <c r="S238" s="607"/>
    </row>
    <row r="239" spans="1:19" ht="13.5" customHeight="1">
      <c r="A239" s="590"/>
      <c r="B239" s="590"/>
      <c r="C239" s="590"/>
      <c r="D239" s="590"/>
      <c r="E239" s="590"/>
      <c r="F239" s="638"/>
      <c r="G239" s="638"/>
      <c r="H239" s="638"/>
      <c r="I239" s="638"/>
      <c r="J239" s="638"/>
      <c r="K239" s="638"/>
      <c r="L239" s="638"/>
      <c r="M239" s="638"/>
      <c r="N239" s="638"/>
      <c r="O239" s="638"/>
      <c r="P239" s="638"/>
      <c r="Q239" s="638"/>
      <c r="R239" s="590"/>
      <c r="S239" s="607"/>
    </row>
    <row r="240" spans="1:19" ht="13.5" customHeight="1">
      <c r="A240" s="590"/>
      <c r="B240" s="590"/>
      <c r="C240" s="590"/>
      <c r="D240" s="590"/>
      <c r="E240" s="590"/>
      <c r="F240" s="638"/>
      <c r="G240" s="638"/>
      <c r="H240" s="638"/>
      <c r="I240" s="638"/>
      <c r="J240" s="638"/>
      <c r="K240" s="638"/>
      <c r="L240" s="638"/>
      <c r="M240" s="638"/>
      <c r="N240" s="638"/>
      <c r="O240" s="638"/>
      <c r="P240" s="638"/>
      <c r="Q240" s="638"/>
      <c r="R240" s="590"/>
      <c r="S240" s="607"/>
    </row>
    <row r="241" spans="1:19" ht="13.5" customHeight="1">
      <c r="A241" s="590"/>
      <c r="B241" s="590"/>
      <c r="C241" s="590"/>
      <c r="D241" s="590"/>
      <c r="E241" s="590"/>
      <c r="F241" s="638"/>
      <c r="G241" s="638"/>
      <c r="H241" s="638"/>
      <c r="I241" s="638"/>
      <c r="J241" s="638"/>
      <c r="K241" s="638"/>
      <c r="L241" s="638"/>
      <c r="M241" s="638"/>
      <c r="N241" s="638"/>
      <c r="O241" s="638"/>
      <c r="P241" s="638"/>
      <c r="Q241" s="638"/>
      <c r="R241" s="590"/>
      <c r="S241" s="607"/>
    </row>
    <row r="242" spans="1:19" ht="13.5" customHeight="1">
      <c r="A242" s="590"/>
      <c r="B242" s="590"/>
      <c r="C242" s="590"/>
      <c r="D242" s="590"/>
      <c r="E242" s="590"/>
      <c r="F242" s="638"/>
      <c r="G242" s="638"/>
      <c r="H242" s="638"/>
      <c r="I242" s="638"/>
      <c r="J242" s="638"/>
      <c r="K242" s="638"/>
      <c r="L242" s="638"/>
      <c r="M242" s="638"/>
      <c r="N242" s="638"/>
      <c r="O242" s="638"/>
      <c r="P242" s="638"/>
      <c r="Q242" s="638"/>
      <c r="R242" s="590"/>
      <c r="S242" s="607"/>
    </row>
    <row r="243" spans="1:19" ht="13.5" customHeight="1">
      <c r="A243" s="590"/>
      <c r="B243" s="590"/>
      <c r="C243" s="590"/>
      <c r="D243" s="590"/>
      <c r="E243" s="590"/>
      <c r="F243" s="638"/>
      <c r="G243" s="638"/>
      <c r="H243" s="638"/>
      <c r="I243" s="638"/>
      <c r="J243" s="638"/>
      <c r="K243" s="638"/>
      <c r="L243" s="638"/>
      <c r="M243" s="638"/>
      <c r="N243" s="638"/>
      <c r="O243" s="638"/>
      <c r="P243" s="638"/>
      <c r="Q243" s="638"/>
      <c r="R243" s="590"/>
      <c r="S243" s="607"/>
    </row>
    <row r="244" spans="1:19" ht="13.5" customHeight="1">
      <c r="A244" s="590"/>
      <c r="B244" s="590"/>
      <c r="C244" s="590"/>
      <c r="D244" s="590"/>
      <c r="E244" s="590"/>
      <c r="F244" s="638"/>
      <c r="G244" s="638"/>
      <c r="H244" s="638"/>
      <c r="I244" s="638"/>
      <c r="J244" s="638"/>
      <c r="K244" s="638"/>
      <c r="L244" s="638"/>
      <c r="M244" s="638"/>
      <c r="N244" s="638"/>
      <c r="O244" s="638"/>
      <c r="P244" s="638"/>
      <c r="Q244" s="638"/>
      <c r="R244" s="590"/>
      <c r="S244" s="607"/>
    </row>
    <row r="245" spans="1:19" ht="13.5" customHeight="1">
      <c r="A245" s="590"/>
      <c r="B245" s="590"/>
      <c r="C245" s="590"/>
      <c r="D245" s="590"/>
      <c r="E245" s="590"/>
      <c r="F245" s="638"/>
      <c r="G245" s="638"/>
      <c r="H245" s="638"/>
      <c r="I245" s="638"/>
      <c r="J245" s="638"/>
      <c r="K245" s="638"/>
      <c r="L245" s="638"/>
      <c r="M245" s="638"/>
      <c r="N245" s="638"/>
      <c r="O245" s="638"/>
      <c r="P245" s="638"/>
      <c r="Q245" s="638"/>
      <c r="R245" s="590"/>
      <c r="S245" s="607"/>
    </row>
    <row r="246" spans="1:19" ht="13.5" customHeight="1">
      <c r="A246" s="590"/>
      <c r="B246" s="590"/>
      <c r="C246" s="590"/>
      <c r="D246" s="590"/>
      <c r="E246" s="590"/>
      <c r="F246" s="638"/>
      <c r="G246" s="638"/>
      <c r="H246" s="638"/>
      <c r="I246" s="638"/>
      <c r="J246" s="638"/>
      <c r="K246" s="638"/>
      <c r="L246" s="638"/>
      <c r="M246" s="638"/>
      <c r="N246" s="638"/>
      <c r="O246" s="638"/>
      <c r="P246" s="638"/>
      <c r="Q246" s="638"/>
      <c r="R246" s="590"/>
      <c r="S246" s="607"/>
    </row>
    <row r="247" spans="1:19" ht="13.5" customHeight="1">
      <c r="A247" s="590"/>
      <c r="B247" s="590"/>
      <c r="C247" s="590"/>
      <c r="D247" s="590"/>
      <c r="E247" s="590"/>
      <c r="F247" s="638"/>
      <c r="G247" s="638"/>
      <c r="H247" s="638"/>
      <c r="I247" s="638"/>
      <c r="J247" s="638"/>
      <c r="K247" s="638"/>
      <c r="L247" s="638"/>
      <c r="M247" s="638"/>
      <c r="N247" s="638"/>
      <c r="O247" s="638"/>
      <c r="P247" s="638"/>
      <c r="Q247" s="638"/>
      <c r="R247" s="590"/>
      <c r="S247" s="607"/>
    </row>
    <row r="248" spans="1:19" ht="13.5" customHeight="1">
      <c r="A248" s="590"/>
      <c r="B248" s="590"/>
      <c r="C248" s="590"/>
      <c r="D248" s="590"/>
      <c r="E248" s="590"/>
      <c r="F248" s="638"/>
      <c r="G248" s="638"/>
      <c r="H248" s="638"/>
      <c r="I248" s="638"/>
      <c r="J248" s="638"/>
      <c r="K248" s="638"/>
      <c r="L248" s="638"/>
      <c r="M248" s="638"/>
      <c r="N248" s="638"/>
      <c r="O248" s="638"/>
      <c r="P248" s="638"/>
      <c r="Q248" s="638"/>
      <c r="R248" s="590"/>
      <c r="S248" s="607"/>
    </row>
    <row r="249" spans="1:19" ht="13.5" customHeight="1">
      <c r="A249" s="590"/>
      <c r="B249" s="590"/>
      <c r="C249" s="590"/>
      <c r="D249" s="590"/>
      <c r="E249" s="590"/>
      <c r="F249" s="638"/>
      <c r="G249" s="638"/>
      <c r="H249" s="638"/>
      <c r="I249" s="638"/>
      <c r="J249" s="638"/>
      <c r="K249" s="638"/>
      <c r="L249" s="638"/>
      <c r="M249" s="638"/>
      <c r="N249" s="638"/>
      <c r="O249" s="638"/>
      <c r="P249" s="638"/>
      <c r="Q249" s="638"/>
      <c r="R249" s="590"/>
      <c r="S249" s="607"/>
    </row>
    <row r="250" spans="1:19" ht="13.5" customHeight="1">
      <c r="A250" s="590"/>
      <c r="B250" s="590"/>
      <c r="C250" s="590"/>
      <c r="D250" s="590"/>
      <c r="E250" s="590"/>
      <c r="F250" s="638"/>
      <c r="G250" s="638"/>
      <c r="H250" s="638"/>
      <c r="I250" s="638"/>
      <c r="J250" s="638"/>
      <c r="K250" s="638"/>
      <c r="L250" s="638"/>
      <c r="M250" s="638"/>
      <c r="N250" s="638"/>
      <c r="O250" s="638"/>
      <c r="P250" s="638"/>
      <c r="Q250" s="638"/>
      <c r="R250" s="590"/>
      <c r="S250" s="607"/>
    </row>
    <row r="251" spans="1:19" ht="13.5" customHeight="1">
      <c r="A251" s="590"/>
      <c r="B251" s="590"/>
      <c r="C251" s="590"/>
      <c r="D251" s="590"/>
      <c r="E251" s="590"/>
      <c r="F251" s="638"/>
      <c r="G251" s="638"/>
      <c r="H251" s="638"/>
      <c r="I251" s="638"/>
      <c r="J251" s="638"/>
      <c r="K251" s="638"/>
      <c r="L251" s="638"/>
      <c r="M251" s="638"/>
      <c r="N251" s="638"/>
      <c r="O251" s="638"/>
      <c r="P251" s="638"/>
      <c r="Q251" s="638"/>
      <c r="R251" s="590"/>
      <c r="S251" s="607"/>
    </row>
    <row r="252" spans="1:19" ht="13.5" customHeight="1">
      <c r="A252" s="590"/>
      <c r="B252" s="590"/>
      <c r="C252" s="590"/>
      <c r="D252" s="590"/>
      <c r="E252" s="590"/>
      <c r="F252" s="638"/>
      <c r="G252" s="638"/>
      <c r="H252" s="638"/>
      <c r="I252" s="638"/>
      <c r="J252" s="638"/>
      <c r="K252" s="638"/>
      <c r="L252" s="638"/>
      <c r="M252" s="638"/>
      <c r="N252" s="638"/>
      <c r="O252" s="638"/>
      <c r="P252" s="638"/>
      <c r="Q252" s="638"/>
      <c r="R252" s="590"/>
      <c r="S252" s="607"/>
    </row>
    <row r="253" spans="1:19" ht="13.5" customHeight="1">
      <c r="A253" s="590"/>
      <c r="B253" s="590"/>
      <c r="C253" s="590"/>
      <c r="D253" s="590"/>
      <c r="E253" s="590"/>
      <c r="F253" s="638"/>
      <c r="G253" s="638"/>
      <c r="H253" s="638"/>
      <c r="I253" s="638"/>
      <c r="J253" s="638"/>
      <c r="K253" s="638"/>
      <c r="L253" s="638"/>
      <c r="M253" s="638"/>
      <c r="N253" s="638"/>
      <c r="O253" s="638"/>
      <c r="P253" s="638"/>
      <c r="Q253" s="638"/>
      <c r="R253" s="590"/>
      <c r="S253" s="607"/>
    </row>
    <row r="254" spans="1:19" ht="13.5" customHeight="1">
      <c r="A254" s="590"/>
      <c r="B254" s="590"/>
      <c r="C254" s="590"/>
      <c r="D254" s="590"/>
      <c r="E254" s="590"/>
      <c r="F254" s="638"/>
      <c r="G254" s="638"/>
      <c r="H254" s="638"/>
      <c r="I254" s="638"/>
      <c r="J254" s="638"/>
      <c r="K254" s="638"/>
      <c r="L254" s="638"/>
      <c r="M254" s="638"/>
      <c r="N254" s="638"/>
      <c r="O254" s="638"/>
      <c r="P254" s="638"/>
      <c r="Q254" s="638"/>
      <c r="R254" s="590"/>
      <c r="S254" s="607"/>
    </row>
    <row r="255" spans="1:19" ht="13.5" customHeight="1">
      <c r="A255" s="590"/>
      <c r="B255" s="590"/>
      <c r="C255" s="590"/>
      <c r="D255" s="590"/>
      <c r="E255" s="590"/>
      <c r="F255" s="638"/>
      <c r="G255" s="638"/>
      <c r="H255" s="638"/>
      <c r="I255" s="638"/>
      <c r="J255" s="638"/>
      <c r="K255" s="638"/>
      <c r="L255" s="638"/>
      <c r="M255" s="638"/>
      <c r="N255" s="638"/>
      <c r="O255" s="638"/>
      <c r="P255" s="638"/>
      <c r="Q255" s="638"/>
      <c r="R255" s="590"/>
      <c r="S255" s="607"/>
    </row>
    <row r="256" spans="1:19" ht="13.5" customHeight="1">
      <c r="A256" s="590"/>
      <c r="B256" s="590"/>
      <c r="C256" s="590"/>
      <c r="D256" s="590"/>
      <c r="E256" s="590"/>
      <c r="F256" s="638"/>
      <c r="G256" s="638"/>
      <c r="H256" s="638"/>
      <c r="I256" s="638"/>
      <c r="J256" s="638"/>
      <c r="K256" s="638"/>
      <c r="L256" s="638"/>
      <c r="M256" s="638"/>
      <c r="N256" s="638"/>
      <c r="O256" s="638"/>
      <c r="P256" s="638"/>
      <c r="Q256" s="638"/>
      <c r="R256" s="590"/>
      <c r="S256" s="607"/>
    </row>
    <row r="257" spans="1:19" ht="13.5" customHeight="1">
      <c r="A257" s="590"/>
      <c r="B257" s="590"/>
      <c r="C257" s="590"/>
      <c r="D257" s="590"/>
      <c r="E257" s="590"/>
      <c r="F257" s="638"/>
      <c r="G257" s="638"/>
      <c r="H257" s="638"/>
      <c r="I257" s="638"/>
      <c r="J257" s="638"/>
      <c r="K257" s="638"/>
      <c r="L257" s="638"/>
      <c r="M257" s="638"/>
      <c r="N257" s="638"/>
      <c r="O257" s="638"/>
      <c r="P257" s="638"/>
      <c r="Q257" s="638"/>
      <c r="R257" s="590"/>
      <c r="S257" s="607"/>
    </row>
    <row r="258" spans="1:19" ht="13.5" customHeight="1">
      <c r="A258" s="590"/>
      <c r="B258" s="590"/>
      <c r="C258" s="590"/>
      <c r="D258" s="590"/>
      <c r="E258" s="590"/>
      <c r="F258" s="638"/>
      <c r="G258" s="638"/>
      <c r="H258" s="638"/>
      <c r="I258" s="638"/>
      <c r="J258" s="638"/>
      <c r="K258" s="638"/>
      <c r="L258" s="638"/>
      <c r="M258" s="638"/>
      <c r="N258" s="638"/>
      <c r="O258" s="638"/>
      <c r="P258" s="638"/>
      <c r="Q258" s="638"/>
      <c r="R258" s="590"/>
      <c r="S258" s="607"/>
    </row>
    <row r="259" spans="1:19" ht="13.5" customHeight="1">
      <c r="A259" s="590"/>
      <c r="B259" s="590"/>
      <c r="C259" s="590"/>
      <c r="D259" s="590"/>
      <c r="E259" s="590"/>
      <c r="F259" s="638"/>
      <c r="G259" s="638"/>
      <c r="H259" s="638"/>
      <c r="I259" s="638"/>
      <c r="J259" s="638"/>
      <c r="K259" s="638"/>
      <c r="L259" s="638"/>
      <c r="M259" s="638"/>
      <c r="N259" s="638"/>
      <c r="O259" s="638"/>
      <c r="P259" s="638"/>
      <c r="Q259" s="638"/>
      <c r="R259" s="590"/>
      <c r="S259" s="607"/>
    </row>
    <row r="260" spans="1:19" ht="13.5" customHeight="1">
      <c r="A260" s="590"/>
      <c r="B260" s="590"/>
      <c r="C260" s="590"/>
      <c r="D260" s="590"/>
      <c r="E260" s="590"/>
      <c r="F260" s="638"/>
      <c r="G260" s="638"/>
      <c r="H260" s="638"/>
      <c r="I260" s="638"/>
      <c r="J260" s="638"/>
      <c r="K260" s="638"/>
      <c r="L260" s="638"/>
      <c r="M260" s="638"/>
      <c r="N260" s="638"/>
      <c r="O260" s="638"/>
      <c r="P260" s="638"/>
      <c r="Q260" s="638"/>
      <c r="R260" s="590"/>
      <c r="S260" s="607"/>
    </row>
    <row r="261" spans="1:19" ht="13.5" customHeight="1">
      <c r="A261" s="590"/>
      <c r="B261" s="590"/>
      <c r="C261" s="590"/>
      <c r="D261" s="590"/>
      <c r="E261" s="590"/>
      <c r="F261" s="638"/>
      <c r="G261" s="638"/>
      <c r="H261" s="638"/>
      <c r="I261" s="638"/>
      <c r="J261" s="638"/>
      <c r="K261" s="638"/>
      <c r="L261" s="638"/>
      <c r="M261" s="638"/>
      <c r="N261" s="638"/>
      <c r="O261" s="638"/>
      <c r="P261" s="638"/>
      <c r="Q261" s="638"/>
      <c r="R261" s="590"/>
      <c r="S261" s="607"/>
    </row>
    <row r="262" spans="1:19" ht="13.5" customHeight="1">
      <c r="A262" s="590"/>
      <c r="B262" s="590"/>
      <c r="C262" s="590"/>
      <c r="D262" s="590"/>
      <c r="E262" s="590"/>
      <c r="F262" s="638"/>
      <c r="G262" s="638"/>
      <c r="H262" s="638"/>
      <c r="I262" s="638"/>
      <c r="J262" s="638"/>
      <c r="K262" s="638"/>
      <c r="L262" s="638"/>
      <c r="M262" s="638"/>
      <c r="N262" s="638"/>
      <c r="O262" s="638"/>
      <c r="P262" s="638"/>
      <c r="Q262" s="638"/>
      <c r="R262" s="590"/>
      <c r="S262" s="607"/>
    </row>
    <row r="263" spans="1:19" ht="13.5" customHeight="1">
      <c r="A263" s="590"/>
      <c r="B263" s="590"/>
      <c r="C263" s="590"/>
      <c r="D263" s="590"/>
      <c r="E263" s="590"/>
      <c r="F263" s="638"/>
      <c r="G263" s="638"/>
      <c r="H263" s="638"/>
      <c r="I263" s="638"/>
      <c r="J263" s="638"/>
      <c r="K263" s="638"/>
      <c r="L263" s="638"/>
      <c r="M263" s="638"/>
      <c r="N263" s="638"/>
      <c r="O263" s="638"/>
      <c r="P263" s="638"/>
      <c r="Q263" s="638"/>
      <c r="R263" s="590"/>
      <c r="S263" s="607"/>
    </row>
    <row r="264" spans="1:19" ht="13.5" customHeight="1">
      <c r="A264" s="590"/>
      <c r="B264" s="590"/>
      <c r="C264" s="590"/>
      <c r="D264" s="590"/>
      <c r="E264" s="590"/>
      <c r="F264" s="638"/>
      <c r="G264" s="638"/>
      <c r="H264" s="638"/>
      <c r="I264" s="638"/>
      <c r="J264" s="638"/>
      <c r="K264" s="638"/>
      <c r="L264" s="638"/>
      <c r="M264" s="638"/>
      <c r="N264" s="638"/>
      <c r="O264" s="638"/>
      <c r="P264" s="638"/>
      <c r="Q264" s="638"/>
      <c r="R264" s="590"/>
      <c r="S264" s="607"/>
    </row>
    <row r="265" spans="1:19">
      <c r="A265" s="590"/>
      <c r="B265" s="590"/>
      <c r="C265" s="590"/>
      <c r="D265" s="590"/>
      <c r="E265" s="590"/>
      <c r="F265" s="590"/>
      <c r="G265" s="590"/>
      <c r="H265" s="590"/>
      <c r="I265" s="590"/>
      <c r="J265" s="590"/>
      <c r="K265" s="590"/>
      <c r="L265" s="590"/>
      <c r="M265" s="590"/>
      <c r="N265" s="590"/>
      <c r="O265" s="590"/>
      <c r="P265" s="590"/>
      <c r="Q265" s="590"/>
      <c r="R265" s="590"/>
      <c r="S265" s="590"/>
    </row>
    <row r="266" spans="1:19">
      <c r="A266" s="590"/>
      <c r="B266" s="590"/>
      <c r="C266" s="590"/>
      <c r="D266" s="590"/>
      <c r="E266" s="590"/>
      <c r="F266" s="590"/>
      <c r="G266" s="590"/>
      <c r="H266" s="590"/>
      <c r="I266" s="590"/>
      <c r="J266" s="590"/>
      <c r="K266" s="590"/>
      <c r="L266" s="590"/>
      <c r="M266" s="590"/>
      <c r="N266" s="590"/>
      <c r="O266" s="590"/>
      <c r="P266" s="590"/>
      <c r="Q266" s="590"/>
      <c r="R266" s="590"/>
      <c r="S266" s="590"/>
    </row>
    <row r="267" spans="1:19">
      <c r="A267" s="590"/>
      <c r="B267" s="590"/>
      <c r="C267" s="590"/>
      <c r="D267" s="590"/>
      <c r="E267" s="590"/>
      <c r="F267" s="590"/>
      <c r="G267" s="590"/>
      <c r="H267" s="590"/>
      <c r="I267" s="590"/>
      <c r="J267" s="590"/>
      <c r="K267" s="590"/>
      <c r="L267" s="590"/>
      <c r="M267" s="590"/>
      <c r="N267" s="590"/>
      <c r="O267" s="590"/>
      <c r="P267" s="590"/>
      <c r="Q267" s="590"/>
      <c r="R267" s="590"/>
      <c r="S267" s="590"/>
    </row>
    <row r="268" spans="1:19">
      <c r="A268" s="590"/>
      <c r="B268" s="590"/>
      <c r="C268" s="590"/>
      <c r="D268" s="590"/>
      <c r="E268" s="590"/>
      <c r="F268" s="590"/>
      <c r="G268" s="590"/>
      <c r="H268" s="590"/>
      <c r="I268" s="590"/>
      <c r="J268" s="590"/>
      <c r="K268" s="590"/>
      <c r="L268" s="590"/>
      <c r="M268" s="590"/>
      <c r="N268" s="590"/>
      <c r="O268" s="590"/>
      <c r="P268" s="590"/>
      <c r="Q268" s="590"/>
      <c r="R268" s="590"/>
      <c r="S268" s="590"/>
    </row>
    <row r="269" spans="1:19">
      <c r="A269" s="590"/>
      <c r="B269" s="590"/>
      <c r="C269" s="590"/>
      <c r="D269" s="590"/>
      <c r="E269" s="590"/>
      <c r="F269" s="590"/>
      <c r="G269" s="590"/>
      <c r="H269" s="590"/>
      <c r="I269" s="590"/>
      <c r="J269" s="590"/>
      <c r="K269" s="590"/>
      <c r="L269" s="590"/>
      <c r="M269" s="590"/>
      <c r="N269" s="590"/>
      <c r="O269" s="590"/>
      <c r="P269" s="590"/>
      <c r="Q269" s="590"/>
      <c r="R269" s="590"/>
      <c r="S269" s="590"/>
    </row>
    <row r="270" spans="1:19">
      <c r="A270" s="590"/>
      <c r="B270" s="590"/>
      <c r="C270" s="590"/>
      <c r="D270" s="590"/>
      <c r="E270" s="590"/>
      <c r="F270" s="590"/>
      <c r="G270" s="590"/>
      <c r="H270" s="590"/>
      <c r="I270" s="590"/>
      <c r="J270" s="590"/>
      <c r="K270" s="590"/>
      <c r="L270" s="590"/>
      <c r="M270" s="590"/>
      <c r="N270" s="590"/>
      <c r="O270" s="590"/>
      <c r="P270" s="590"/>
      <c r="Q270" s="590"/>
      <c r="R270" s="590"/>
      <c r="S270" s="590"/>
    </row>
    <row r="271" spans="1:19">
      <c r="A271" s="590"/>
      <c r="B271" s="590"/>
      <c r="C271" s="590"/>
      <c r="D271" s="590"/>
      <c r="E271" s="590"/>
      <c r="F271" s="590"/>
      <c r="G271" s="590"/>
      <c r="H271" s="590"/>
      <c r="I271" s="590"/>
      <c r="J271" s="590"/>
      <c r="K271" s="590"/>
      <c r="L271" s="590"/>
      <c r="M271" s="590"/>
      <c r="N271" s="590"/>
      <c r="O271" s="590"/>
      <c r="P271" s="590"/>
      <c r="Q271" s="590"/>
      <c r="R271" s="590"/>
      <c r="S271" s="590"/>
    </row>
    <row r="272" spans="1:19">
      <c r="A272" s="590"/>
      <c r="B272" s="590"/>
      <c r="C272" s="590"/>
      <c r="D272" s="590"/>
      <c r="E272" s="590"/>
      <c r="F272" s="590"/>
      <c r="G272" s="590"/>
      <c r="H272" s="590"/>
      <c r="I272" s="590"/>
      <c r="J272" s="590"/>
      <c r="K272" s="590"/>
      <c r="L272" s="590"/>
      <c r="M272" s="590"/>
      <c r="N272" s="590"/>
      <c r="O272" s="590"/>
      <c r="P272" s="590"/>
      <c r="Q272" s="590"/>
      <c r="R272" s="590"/>
      <c r="S272" s="590"/>
    </row>
    <row r="274" spans="2:18" ht="24">
      <c r="B274" s="369" t="s">
        <v>407</v>
      </c>
      <c r="C274" s="368"/>
    </row>
    <row r="275" spans="2:18" ht="24">
      <c r="B275" s="369"/>
      <c r="C275" s="368"/>
    </row>
    <row r="276" spans="2:18" ht="18.75">
      <c r="B276" s="482" t="s">
        <v>404</v>
      </c>
      <c r="C276" s="482"/>
      <c r="D276" s="482"/>
      <c r="E276" s="482"/>
      <c r="G276" s="482" t="s">
        <v>321</v>
      </c>
      <c r="H276" s="482"/>
      <c r="I276" s="482"/>
      <c r="J276" s="482"/>
    </row>
    <row r="277" spans="2:18" ht="18.75">
      <c r="B277" s="1456" t="s">
        <v>396</v>
      </c>
      <c r="C277" s="1457"/>
      <c r="D277" s="476" t="s">
        <v>397</v>
      </c>
      <c r="E277" s="477"/>
      <c r="G277" s="1459" t="s">
        <v>314</v>
      </c>
      <c r="H277" s="1459"/>
      <c r="I277" s="1460">
        <f>投資情報!$I$5+1</f>
        <v>2</v>
      </c>
      <c r="J277" s="1461"/>
    </row>
    <row r="278" spans="2:18" ht="18.75">
      <c r="B278" s="1456" t="s">
        <v>394</v>
      </c>
      <c r="C278" s="1457"/>
      <c r="D278" s="478"/>
      <c r="E278" s="479" t="s">
        <v>352</v>
      </c>
      <c r="G278" s="1459" t="s">
        <v>315</v>
      </c>
      <c r="H278" s="1459"/>
      <c r="I278" s="1460">
        <f>投資情報!$W$5+1</f>
        <v>9</v>
      </c>
      <c r="J278" s="1461"/>
    </row>
    <row r="279" spans="2:18" ht="18.75">
      <c r="B279" s="1477" t="s">
        <v>402</v>
      </c>
      <c r="C279" s="1478"/>
      <c r="D279" s="476" t="s">
        <v>403</v>
      </c>
      <c r="E279" s="477"/>
    </row>
    <row r="280" spans="2:18" s="128" customFormat="1" ht="18.75">
      <c r="B280" s="480" t="s">
        <v>789</v>
      </c>
      <c r="C280" s="480"/>
      <c r="D280" s="481">
        <f>'&lt;参考&gt;●現在の業務の総コスト'!$G$6</f>
        <v>7200</v>
      </c>
      <c r="E280" s="479" t="s">
        <v>399</v>
      </c>
      <c r="G280" s="482" t="s">
        <v>726</v>
      </c>
      <c r="L280" s="482" t="s">
        <v>308</v>
      </c>
      <c r="M280" s="482"/>
      <c r="N280" s="482"/>
      <c r="O280" s="482"/>
      <c r="P280" s="482"/>
      <c r="Q280" s="482"/>
    </row>
    <row r="281" spans="2:18" s="365" customFormat="1" ht="20.100000000000001" customHeight="1">
      <c r="B281" s="480" t="s">
        <v>398</v>
      </c>
      <c r="C281" s="480"/>
      <c r="D281" s="481">
        <f>'&lt;参考&gt;●現在の業務の総コスト'!$G$5</f>
        <v>2400</v>
      </c>
      <c r="E281" s="479" t="s">
        <v>399</v>
      </c>
      <c r="G281" s="1513"/>
      <c r="H281" s="1448" t="s">
        <v>279</v>
      </c>
      <c r="I281" s="1448" t="s">
        <v>280</v>
      </c>
      <c r="L281" s="1456" t="s">
        <v>405</v>
      </c>
      <c r="M281" s="1457"/>
      <c r="N281" s="1455" t="str">
        <f>B274</f>
        <v>ＡＳＰ活用タイプⅡ</v>
      </c>
      <c r="O281" s="1455"/>
      <c r="P281" s="1455"/>
      <c r="Q281" s="1455"/>
      <c r="R281"/>
    </row>
    <row r="282" spans="2:18" s="365" customFormat="1" ht="20.100000000000001" customHeight="1">
      <c r="B282" s="480" t="s">
        <v>34</v>
      </c>
      <c r="C282" s="480"/>
      <c r="D282" s="481">
        <f>'&lt;参考&gt;●現在の業務の総コスト'!$O$6</f>
        <v>0</v>
      </c>
      <c r="E282" s="479" t="s">
        <v>399</v>
      </c>
      <c r="G282" s="1513"/>
      <c r="H282" s="1449"/>
      <c r="I282" s="1449"/>
      <c r="L282" s="1456" t="s">
        <v>277</v>
      </c>
      <c r="M282" s="1457"/>
      <c r="N282" s="1454" t="str">
        <f ca="1">TEXT(ROUNDDOWN((投資情報!W97*$C$1),-LOG(投資情報!W97)+1),"\#,##0;\-#,##0")&amp;" ～ "&amp;TEXT(ROUNDUP((投資情報!W97*$E$1),-LOG(投資情報!W97)+1),"\#,##0;\-#,##0")</f>
        <v>¥48,000 ～ ¥78,000</v>
      </c>
      <c r="O282" s="1454"/>
      <c r="P282" s="1454"/>
      <c r="Q282" s="1454"/>
      <c r="R282"/>
    </row>
    <row r="283" spans="2:18" s="365" customFormat="1" ht="20.100000000000001" customHeight="1">
      <c r="G283" s="474">
        <f>$G$117</f>
        <v>1</v>
      </c>
      <c r="H283" s="475">
        <f>$H$117</f>
        <v>0.2</v>
      </c>
      <c r="I283" s="475">
        <f>$I$117</f>
        <v>0</v>
      </c>
      <c r="L283" s="1456" t="s">
        <v>278</v>
      </c>
      <c r="M283" s="1457"/>
      <c r="N283" s="1454" t="str">
        <f ca="1">TEXT(ROUNDDOWN((投資情報!W98/12*$C$1),-LOG(投資情報!W98/12)+1),"\#,##0;\-#,##0")&amp;" ～ "&amp;TEXT(ROUNDUP((投資情報!W98/12*$E$1),-LOG(投資情報!W98/12)+1),"\#,##0;\-#,##0")</f>
        <v>¥4,800 ～ ¥7,800</v>
      </c>
      <c r="O283" s="1454"/>
      <c r="P283" s="1454"/>
      <c r="Q283" s="1454"/>
      <c r="R283"/>
    </row>
    <row r="284" spans="2:18" s="365" customFormat="1" ht="20.100000000000001" customHeight="1">
      <c r="F284" s="128"/>
      <c r="G284" s="474">
        <f>$G$118</f>
        <v>3</v>
      </c>
      <c r="H284" s="475">
        <f>$H$118</f>
        <v>0.4</v>
      </c>
      <c r="I284" s="475">
        <f>$I$118</f>
        <v>0</v>
      </c>
      <c r="L284" s="1456" t="s">
        <v>395</v>
      </c>
      <c r="M284" s="1457"/>
      <c r="N284" s="1453" t="str">
        <f>"ハードウェア "&amp;投資情報!$I$4&amp;" 年毎更新"</f>
        <v>ハードウェア 5 年毎更新</v>
      </c>
      <c r="O284" s="1453"/>
      <c r="P284" s="1453"/>
      <c r="Q284" s="1453"/>
      <c r="R284"/>
    </row>
    <row r="285" spans="2:18" s="365" customFormat="1" ht="20.100000000000001" customHeight="1">
      <c r="G285" s="474">
        <f>$G$119</f>
        <v>5</v>
      </c>
      <c r="H285" s="475">
        <f>$H$119</f>
        <v>0.6</v>
      </c>
      <c r="I285" s="475">
        <f>$I$119</f>
        <v>0</v>
      </c>
      <c r="J285"/>
      <c r="L285"/>
      <c r="M285"/>
      <c r="N285"/>
      <c r="O285"/>
      <c r="P285"/>
      <c r="Q285"/>
      <c r="R285"/>
    </row>
    <row r="286" spans="2:18" ht="20.100000000000001" customHeight="1">
      <c r="F286" s="365"/>
      <c r="L286" s="482" t="s">
        <v>317</v>
      </c>
      <c r="M286" s="435"/>
      <c r="N286" s="483"/>
      <c r="O286" s="483"/>
      <c r="P286" s="483"/>
      <c r="Q286" s="435"/>
    </row>
    <row r="287" spans="2:18" ht="20.100000000000001" customHeight="1">
      <c r="L287" s="1456" t="s">
        <v>309</v>
      </c>
      <c r="M287" s="1457"/>
      <c r="N287" s="1452">
        <f>投資情報!$N$101</f>
        <v>0</v>
      </c>
      <c r="O287" s="1452"/>
      <c r="P287" s="1452"/>
      <c r="Q287" s="1452"/>
    </row>
    <row r="288" spans="2:18" ht="20.100000000000001" customHeight="1">
      <c r="B288" s="83"/>
      <c r="C288" s="1494"/>
      <c r="D288" s="1494"/>
      <c r="E288" s="1523"/>
      <c r="F288" s="1523"/>
      <c r="G288" s="364"/>
      <c r="L288" s="1456" t="s">
        <v>310</v>
      </c>
      <c r="M288" s="1457"/>
      <c r="N288" s="1451" t="str">
        <f>投資情報!$N$102&amp;"人日／初年度 + "&amp;投資情報!$N$103&amp;"人日／年"</f>
        <v>0人日／初年度 + 0人日／年</v>
      </c>
      <c r="O288" s="1451"/>
      <c r="P288" s="1451"/>
      <c r="Q288" s="1451"/>
    </row>
    <row r="289" spans="4:19" ht="20.100000000000001" customHeight="1">
      <c r="H289" s="364"/>
      <c r="L289" s="1456" t="s">
        <v>311</v>
      </c>
      <c r="M289" s="1457"/>
      <c r="N289" s="1450">
        <f>投資情報!$N$104</f>
        <v>0</v>
      </c>
      <c r="O289" s="1450"/>
      <c r="P289" s="1450"/>
      <c r="Q289" s="1450"/>
    </row>
    <row r="290" spans="4:19" ht="20.100000000000001" customHeight="1">
      <c r="H290" s="364"/>
      <c r="L290" s="1456" t="s">
        <v>312</v>
      </c>
      <c r="M290" s="1457"/>
      <c r="N290" s="1450">
        <f>投資情報!$N$105</f>
        <v>0</v>
      </c>
      <c r="O290" s="1450"/>
      <c r="P290" s="1450"/>
      <c r="Q290" s="1450"/>
    </row>
    <row r="292" spans="4:19" ht="18" customHeight="1" thickBot="1">
      <c r="Q292" s="376" t="s">
        <v>808</v>
      </c>
    </row>
    <row r="293" spans="4:19" s="370" customFormat="1" ht="21.75" thickBot="1">
      <c r="D293" s="1510" t="s">
        <v>325</v>
      </c>
      <c r="E293" s="1511"/>
      <c r="F293" s="1512"/>
      <c r="G293" s="459" t="s">
        <v>313</v>
      </c>
      <c r="H293" s="460" t="s">
        <v>236</v>
      </c>
      <c r="I293" s="460" t="s">
        <v>237</v>
      </c>
      <c r="J293" s="460" t="s">
        <v>238</v>
      </c>
      <c r="K293" s="460" t="s">
        <v>239</v>
      </c>
      <c r="L293" s="460" t="s">
        <v>240</v>
      </c>
      <c r="M293" s="460" t="s">
        <v>241</v>
      </c>
      <c r="N293" s="460" t="s">
        <v>242</v>
      </c>
      <c r="O293" s="460" t="s">
        <v>243</v>
      </c>
      <c r="P293" s="460" t="s">
        <v>244</v>
      </c>
      <c r="Q293" s="461" t="s">
        <v>245</v>
      </c>
    </row>
    <row r="294" spans="4:19" s="370" customFormat="1" ht="24" customHeight="1">
      <c r="D294" s="1481" t="s">
        <v>269</v>
      </c>
      <c r="E294" s="1482"/>
      <c r="F294" s="1483"/>
      <c r="G294" s="449">
        <f>$G$6</f>
        <v>1</v>
      </c>
      <c r="H294" s="450">
        <f>$H$6</f>
        <v>1</v>
      </c>
      <c r="I294" s="450">
        <f>$I$6</f>
        <v>1</v>
      </c>
      <c r="J294" s="450">
        <f>$J$6</f>
        <v>1</v>
      </c>
      <c r="K294" s="450">
        <f>$K$6</f>
        <v>1</v>
      </c>
      <c r="L294" s="450">
        <f>$L$6</f>
        <v>1</v>
      </c>
      <c r="M294" s="450">
        <f>$M$6</f>
        <v>1</v>
      </c>
      <c r="N294" s="450">
        <f>$N$6</f>
        <v>1</v>
      </c>
      <c r="O294" s="450">
        <f>$O$6</f>
        <v>1</v>
      </c>
      <c r="P294" s="450">
        <f>$P$6</f>
        <v>1</v>
      </c>
      <c r="Q294" s="450">
        <f>$Q$6</f>
        <v>1</v>
      </c>
    </row>
    <row r="295" spans="4:19" s="370" customFormat="1" ht="24" customHeight="1">
      <c r="D295" s="1491" t="s">
        <v>274</v>
      </c>
      <c r="E295" s="1492"/>
      <c r="F295" s="1493"/>
      <c r="G295" s="451">
        <f>$G$7</f>
        <v>0</v>
      </c>
      <c r="H295" s="452">
        <f>$H$7</f>
        <v>0</v>
      </c>
      <c r="I295" s="452">
        <f>$I$7</f>
        <v>0.31</v>
      </c>
      <c r="J295" s="452">
        <f>$J$7</f>
        <v>0.4</v>
      </c>
      <c r="K295" s="452">
        <f>$K$7</f>
        <v>0.5</v>
      </c>
      <c r="L295" s="452">
        <f>$L$7</f>
        <v>0.6</v>
      </c>
      <c r="M295" s="452">
        <f>$M$7</f>
        <v>0.6</v>
      </c>
      <c r="N295" s="452">
        <f>$N$7</f>
        <v>0.6</v>
      </c>
      <c r="O295" s="452">
        <f>$O$7</f>
        <v>0.6</v>
      </c>
      <c r="P295" s="452">
        <f>$P$7</f>
        <v>0.6</v>
      </c>
      <c r="Q295" s="452">
        <f>$Q$7</f>
        <v>0.6</v>
      </c>
    </row>
    <row r="296" spans="4:19" s="370" customFormat="1" ht="24" customHeight="1" thickBot="1">
      <c r="D296" s="1495" t="s">
        <v>275</v>
      </c>
      <c r="E296" s="1496"/>
      <c r="F296" s="1497"/>
      <c r="G296" s="453">
        <f>$G$8</f>
        <v>0</v>
      </c>
      <c r="H296" s="454">
        <f>$H$8</f>
        <v>0</v>
      </c>
      <c r="I296" s="454">
        <f>$I$8</f>
        <v>0</v>
      </c>
      <c r="J296" s="454">
        <f>$J$8</f>
        <v>0</v>
      </c>
      <c r="K296" s="454">
        <f>$K$8</f>
        <v>0</v>
      </c>
      <c r="L296" s="454">
        <f>$L$8</f>
        <v>0</v>
      </c>
      <c r="M296" s="454">
        <f>$M$8</f>
        <v>0</v>
      </c>
      <c r="N296" s="454">
        <f>$N$8</f>
        <v>0</v>
      </c>
      <c r="O296" s="454">
        <f>$O$8</f>
        <v>0</v>
      </c>
      <c r="P296" s="454">
        <f>$P$8</f>
        <v>0</v>
      </c>
      <c r="Q296" s="454">
        <f>$Q$8</f>
        <v>0</v>
      </c>
    </row>
    <row r="297" spans="4:19" ht="31.5" customHeight="1" thickBot="1">
      <c r="D297" s="455" t="s">
        <v>323</v>
      </c>
      <c r="E297" s="1489" t="s">
        <v>170</v>
      </c>
      <c r="F297" s="1490"/>
      <c r="G297" s="462">
        <f t="shared" ref="G297:Q297" ca="1" si="19">G306/1000</f>
        <v>0</v>
      </c>
      <c r="H297" s="463">
        <f t="shared" ca="1" si="19"/>
        <v>0</v>
      </c>
      <c r="I297" s="463">
        <f t="shared" ca="1" si="19"/>
        <v>695.3610000000009</v>
      </c>
      <c r="J297" s="463">
        <f t="shared" ca="1" si="19"/>
        <v>897.24</v>
      </c>
      <c r="K297" s="463">
        <f t="shared" ca="1" si="19"/>
        <v>1121.55</v>
      </c>
      <c r="L297" s="463">
        <f t="shared" ca="1" si="19"/>
        <v>1345.86</v>
      </c>
      <c r="M297" s="463">
        <f t="shared" ca="1" si="19"/>
        <v>1345.86</v>
      </c>
      <c r="N297" s="463">
        <f t="shared" ca="1" si="19"/>
        <v>1345.86</v>
      </c>
      <c r="O297" s="463">
        <f t="shared" ca="1" si="19"/>
        <v>1345.86</v>
      </c>
      <c r="P297" s="463">
        <f t="shared" ca="1" si="19"/>
        <v>1345.86</v>
      </c>
      <c r="Q297" s="464">
        <f t="shared" ca="1" si="19"/>
        <v>1345.86</v>
      </c>
      <c r="S297" s="364"/>
    </row>
    <row r="298" spans="4:19" ht="31.5" customHeight="1">
      <c r="D298" s="456" t="s">
        <v>324</v>
      </c>
      <c r="E298" s="1487" t="s">
        <v>322</v>
      </c>
      <c r="F298" s="1488"/>
      <c r="G298" s="465">
        <f t="shared" ref="G298:Q298" si="20">G310/1000</f>
        <v>0</v>
      </c>
      <c r="H298" s="466">
        <f t="shared" si="20"/>
        <v>0</v>
      </c>
      <c r="I298" s="466">
        <f t="shared" si="20"/>
        <v>0</v>
      </c>
      <c r="J298" s="466">
        <f t="shared" si="20"/>
        <v>0</v>
      </c>
      <c r="K298" s="466">
        <f t="shared" si="20"/>
        <v>0</v>
      </c>
      <c r="L298" s="466">
        <f t="shared" si="20"/>
        <v>0</v>
      </c>
      <c r="M298" s="466">
        <f t="shared" si="20"/>
        <v>0</v>
      </c>
      <c r="N298" s="466">
        <f t="shared" si="20"/>
        <v>0</v>
      </c>
      <c r="O298" s="466">
        <f t="shared" si="20"/>
        <v>0</v>
      </c>
      <c r="P298" s="466">
        <f t="shared" si="20"/>
        <v>0</v>
      </c>
      <c r="Q298" s="467">
        <f t="shared" si="20"/>
        <v>0</v>
      </c>
      <c r="S298" s="364"/>
    </row>
    <row r="299" spans="4:19" ht="31.5" customHeight="1">
      <c r="D299" s="457"/>
      <c r="E299" s="1519" t="s">
        <v>316</v>
      </c>
      <c r="F299" s="1520"/>
      <c r="G299" s="468">
        <f t="shared" ref="G299:Q299" si="21">G309/1000</f>
        <v>0</v>
      </c>
      <c r="H299" s="469">
        <f t="shared" si="21"/>
        <v>-30</v>
      </c>
      <c r="I299" s="469">
        <f t="shared" si="21"/>
        <v>0</v>
      </c>
      <c r="J299" s="469">
        <f t="shared" si="21"/>
        <v>0</v>
      </c>
      <c r="K299" s="469">
        <f t="shared" si="21"/>
        <v>0</v>
      </c>
      <c r="L299" s="469">
        <f t="shared" si="21"/>
        <v>0</v>
      </c>
      <c r="M299" s="469">
        <f t="shared" si="21"/>
        <v>0</v>
      </c>
      <c r="N299" s="469">
        <f t="shared" si="21"/>
        <v>0</v>
      </c>
      <c r="O299" s="469">
        <f t="shared" si="21"/>
        <v>-30</v>
      </c>
      <c r="P299" s="469">
        <f t="shared" si="21"/>
        <v>0</v>
      </c>
      <c r="Q299" s="470">
        <f t="shared" si="21"/>
        <v>0</v>
      </c>
      <c r="S299" s="364"/>
    </row>
    <row r="300" spans="4:19" ht="31.5" customHeight="1">
      <c r="D300" s="457"/>
      <c r="E300" s="1519" t="s">
        <v>319</v>
      </c>
      <c r="F300" s="1520"/>
      <c r="G300" s="468">
        <f t="shared" ref="G300:Q300" si="22">G308/1000</f>
        <v>0</v>
      </c>
      <c r="H300" s="469">
        <f t="shared" si="22"/>
        <v>-36</v>
      </c>
      <c r="I300" s="469">
        <f t="shared" si="22"/>
        <v>-36</v>
      </c>
      <c r="J300" s="469">
        <f t="shared" si="22"/>
        <v>-36</v>
      </c>
      <c r="K300" s="469">
        <f t="shared" si="22"/>
        <v>-36</v>
      </c>
      <c r="L300" s="469">
        <f t="shared" si="22"/>
        <v>-36</v>
      </c>
      <c r="M300" s="469">
        <f t="shared" si="22"/>
        <v>-36</v>
      </c>
      <c r="N300" s="469">
        <f t="shared" si="22"/>
        <v>-36</v>
      </c>
      <c r="O300" s="469">
        <f t="shared" si="22"/>
        <v>-72</v>
      </c>
      <c r="P300" s="469">
        <f t="shared" si="22"/>
        <v>-72</v>
      </c>
      <c r="Q300" s="470">
        <f t="shared" si="22"/>
        <v>-72</v>
      </c>
      <c r="S300" s="364"/>
    </row>
    <row r="301" spans="4:19" ht="31.5" customHeight="1" thickBot="1">
      <c r="D301" s="458"/>
      <c r="E301" s="1521" t="s">
        <v>318</v>
      </c>
      <c r="F301" s="1522"/>
      <c r="G301" s="471">
        <f t="shared" ref="G301:Q301" si="23">G307/1000</f>
        <v>0</v>
      </c>
      <c r="H301" s="472">
        <f t="shared" si="23"/>
        <v>0</v>
      </c>
      <c r="I301" s="472">
        <f t="shared" si="23"/>
        <v>0</v>
      </c>
      <c r="J301" s="472">
        <f t="shared" si="23"/>
        <v>0</v>
      </c>
      <c r="K301" s="472">
        <f t="shared" si="23"/>
        <v>0</v>
      </c>
      <c r="L301" s="472">
        <f t="shared" si="23"/>
        <v>0</v>
      </c>
      <c r="M301" s="472">
        <f t="shared" si="23"/>
        <v>0</v>
      </c>
      <c r="N301" s="472">
        <f t="shared" si="23"/>
        <v>0</v>
      </c>
      <c r="O301" s="472">
        <f t="shared" si="23"/>
        <v>0</v>
      </c>
      <c r="P301" s="472">
        <f t="shared" si="23"/>
        <v>0</v>
      </c>
      <c r="Q301" s="473">
        <f t="shared" si="23"/>
        <v>0</v>
      </c>
      <c r="S301" s="364"/>
    </row>
    <row r="305" spans="3:19">
      <c r="F305" s="374"/>
      <c r="G305" s="374" t="s">
        <v>313</v>
      </c>
      <c r="H305" s="374" t="s">
        <v>236</v>
      </c>
      <c r="I305" s="374" t="s">
        <v>237</v>
      </c>
      <c r="J305" s="374" t="s">
        <v>238</v>
      </c>
      <c r="K305" s="374" t="s">
        <v>239</v>
      </c>
      <c r="L305" s="374" t="s">
        <v>240</v>
      </c>
      <c r="M305" s="374" t="s">
        <v>241</v>
      </c>
      <c r="N305" s="374" t="s">
        <v>242</v>
      </c>
      <c r="O305" s="374" t="s">
        <v>243</v>
      </c>
      <c r="P305" s="374" t="s">
        <v>244</v>
      </c>
      <c r="Q305" s="374" t="s">
        <v>245</v>
      </c>
    </row>
    <row r="306" spans="3:19">
      <c r="F306" s="372" t="s">
        <v>170</v>
      </c>
      <c r="G306" s="372">
        <f ca="1">'&lt;参考&gt;●総コスト算出WS'!$E$43*$G$6</f>
        <v>0</v>
      </c>
      <c r="H306" s="372">
        <f ca="1">'&lt;参考&gt;●総コスト算出WS'!$F$43*$H$6</f>
        <v>0</v>
      </c>
      <c r="I306" s="372">
        <f ca="1">'&lt;参考&gt;●総コスト算出WS'!$G$43*$I$6</f>
        <v>695361.00000000093</v>
      </c>
      <c r="J306" s="372">
        <f ca="1">'&lt;参考&gt;●総コスト算出WS'!$H$43*$J$6</f>
        <v>897240</v>
      </c>
      <c r="K306" s="372">
        <f ca="1">'&lt;参考&gt;●総コスト算出WS'!$I$43*$K$6</f>
        <v>1121550</v>
      </c>
      <c r="L306" s="372">
        <f ca="1">'&lt;参考&gt;●総コスト算出WS'!$J$43*$L$6</f>
        <v>1345860</v>
      </c>
      <c r="M306" s="372">
        <f ca="1">'&lt;参考&gt;●総コスト算出WS'!$K$43*$M$6</f>
        <v>1345860</v>
      </c>
      <c r="N306" s="372">
        <f ca="1">'&lt;参考&gt;●総コスト算出WS'!$L$43*$N$6</f>
        <v>1345860</v>
      </c>
      <c r="O306" s="372">
        <f ca="1">'&lt;参考&gt;●総コスト算出WS'!$M$43*$O$6</f>
        <v>1345860</v>
      </c>
      <c r="P306" s="372">
        <f ca="1">'&lt;参考&gt;●総コスト算出WS'!$N$43*$P$6</f>
        <v>1345860</v>
      </c>
      <c r="Q306" s="372">
        <f ca="1">'&lt;参考&gt;●総コスト算出WS'!$O$43*$Q$6</f>
        <v>1345860</v>
      </c>
    </row>
    <row r="307" spans="3:19">
      <c r="F307" s="372" t="s">
        <v>318</v>
      </c>
      <c r="G307" s="372">
        <f>-(SUM('&lt;参考&gt;●総コスト算出WS'!E116:E119)+SUM('&lt;参考&gt;●総コスト算出WS'!E129:E131))</f>
        <v>0</v>
      </c>
      <c r="H307" s="372">
        <f>-(SUM('&lt;参考&gt;●総コスト算出WS'!F116:F119)+SUM('&lt;参考&gt;●総コスト算出WS'!F129:F131))</f>
        <v>0</v>
      </c>
      <c r="I307" s="372">
        <f>-(SUM('&lt;参考&gt;●総コスト算出WS'!G116:G119)+SUM('&lt;参考&gt;●総コスト算出WS'!G129:G131))</f>
        <v>0</v>
      </c>
      <c r="J307" s="372">
        <f>-(SUM('&lt;参考&gt;●総コスト算出WS'!H116:H119)+SUM('&lt;参考&gt;●総コスト算出WS'!H129:H131))</f>
        <v>0</v>
      </c>
      <c r="K307" s="372">
        <f>-(SUM('&lt;参考&gt;●総コスト算出WS'!I116:I119)+SUM('&lt;参考&gt;●総コスト算出WS'!I129:I131))</f>
        <v>0</v>
      </c>
      <c r="L307" s="372">
        <f>-(SUM('&lt;参考&gt;●総コスト算出WS'!J116:J119)+SUM('&lt;参考&gt;●総コスト算出WS'!J129:J131))</f>
        <v>0</v>
      </c>
      <c r="M307" s="372">
        <f>-(SUM('&lt;参考&gt;●総コスト算出WS'!K116:K119)+SUM('&lt;参考&gt;●総コスト算出WS'!K129:K131))</f>
        <v>0</v>
      </c>
      <c r="N307" s="372">
        <f>-(SUM('&lt;参考&gt;●総コスト算出WS'!L116:L119)+SUM('&lt;参考&gt;●総コスト算出WS'!L129:L131))</f>
        <v>0</v>
      </c>
      <c r="O307" s="372">
        <f>-(SUM('&lt;参考&gt;●総コスト算出WS'!M116:M119)+SUM('&lt;参考&gt;●総コスト算出WS'!M129:M131))</f>
        <v>0</v>
      </c>
      <c r="P307" s="372">
        <f>-(SUM('&lt;参考&gt;●総コスト算出WS'!N116:N119)+SUM('&lt;参考&gt;●総コスト算出WS'!N129:N131))</f>
        <v>0</v>
      </c>
      <c r="Q307" s="372">
        <f>-(SUM('&lt;参考&gt;●総コスト算出WS'!O116:O119)+SUM('&lt;参考&gt;●総コスト算出WS'!O129:O131))</f>
        <v>0</v>
      </c>
    </row>
    <row r="308" spans="3:19">
      <c r="C308" s="82"/>
      <c r="F308" s="373" t="s">
        <v>807</v>
      </c>
      <c r="G308" s="373">
        <f>-(SUM('&lt;参考&gt;●総コスト算出WS'!E122:E128))</f>
        <v>0</v>
      </c>
      <c r="H308" s="373">
        <f>-(SUM('&lt;参考&gt;●総コスト算出WS'!F122:F128))</f>
        <v>-36000</v>
      </c>
      <c r="I308" s="373">
        <f>-(SUM('&lt;参考&gt;●総コスト算出WS'!G122:G128))</f>
        <v>-36000</v>
      </c>
      <c r="J308" s="373">
        <f>-(SUM('&lt;参考&gt;●総コスト算出WS'!H122:H128))</f>
        <v>-36000</v>
      </c>
      <c r="K308" s="373">
        <f>-(SUM('&lt;参考&gt;●総コスト算出WS'!I122:I128))</f>
        <v>-36000</v>
      </c>
      <c r="L308" s="373">
        <f>-(SUM('&lt;参考&gt;●総コスト算出WS'!J122:J128))</f>
        <v>-36000</v>
      </c>
      <c r="M308" s="373">
        <f>-(SUM('&lt;参考&gt;●総コスト算出WS'!K122:K128))</f>
        <v>-36000</v>
      </c>
      <c r="N308" s="373">
        <f>-(SUM('&lt;参考&gt;●総コスト算出WS'!L122:L128))</f>
        <v>-36000</v>
      </c>
      <c r="O308" s="373">
        <f>-(SUM('&lt;参考&gt;●総コスト算出WS'!M122:M128))</f>
        <v>-72000</v>
      </c>
      <c r="P308" s="373">
        <f>-(SUM('&lt;参考&gt;●総コスト算出WS'!N122:N128))</f>
        <v>-72000</v>
      </c>
      <c r="Q308" s="373">
        <f>-(SUM('&lt;参考&gt;●総コスト算出WS'!O122:O128))</f>
        <v>-72000</v>
      </c>
    </row>
    <row r="309" spans="3:19">
      <c r="C309" s="82"/>
      <c r="F309" s="372" t="s">
        <v>316</v>
      </c>
      <c r="G309" s="372">
        <f>-(SUM('&lt;参考&gt;●総コスト算出WS'!E109:E115))</f>
        <v>0</v>
      </c>
      <c r="H309" s="372">
        <f>-(SUM('&lt;参考&gt;●総コスト算出WS'!F109:F115))</f>
        <v>-30000</v>
      </c>
      <c r="I309" s="372">
        <f>-(SUM('&lt;参考&gt;●総コスト算出WS'!G109:G115))</f>
        <v>0</v>
      </c>
      <c r="J309" s="372">
        <f>-(SUM('&lt;参考&gt;●総コスト算出WS'!H109:H115))</f>
        <v>0</v>
      </c>
      <c r="K309" s="372">
        <f>-(SUM('&lt;参考&gt;●総コスト算出WS'!I109:I115))</f>
        <v>0</v>
      </c>
      <c r="L309" s="372">
        <f>-(SUM('&lt;参考&gt;●総コスト算出WS'!J109:J115))</f>
        <v>0</v>
      </c>
      <c r="M309" s="372">
        <f>-(SUM('&lt;参考&gt;●総コスト算出WS'!K109:K115))</f>
        <v>0</v>
      </c>
      <c r="N309" s="372">
        <f>-(SUM('&lt;参考&gt;●総コスト算出WS'!L109:L115))</f>
        <v>0</v>
      </c>
      <c r="O309" s="372">
        <f>-(SUM('&lt;参考&gt;●総コスト算出WS'!M109:M115))</f>
        <v>-30000</v>
      </c>
      <c r="P309" s="372">
        <f>-(SUM('&lt;参考&gt;●総コスト算出WS'!N109:N115))</f>
        <v>0</v>
      </c>
      <c r="Q309" s="372">
        <f>-(SUM('&lt;参考&gt;●総コスト算出WS'!O109:O115))</f>
        <v>0</v>
      </c>
    </row>
    <row r="310" spans="3:19">
      <c r="C310" s="82"/>
      <c r="F310" s="372" t="s">
        <v>322</v>
      </c>
      <c r="G310" s="372">
        <f>-('&lt;参考&gt;●総コスト算出WS'!E108+'&lt;参考&gt;●総コスト算出WS'!E121)</f>
        <v>0</v>
      </c>
      <c r="H310" s="372">
        <f>-('&lt;参考&gt;●総コスト算出WS'!F108+'&lt;参考&gt;●総コスト算出WS'!F121)</f>
        <v>0</v>
      </c>
      <c r="I310" s="372">
        <f>-('&lt;参考&gt;●総コスト算出WS'!G108+'&lt;参考&gt;●総コスト算出WS'!G121)</f>
        <v>0</v>
      </c>
      <c r="J310" s="372">
        <f>-('&lt;参考&gt;●総コスト算出WS'!H108+'&lt;参考&gt;●総コスト算出WS'!H121)</f>
        <v>0</v>
      </c>
      <c r="K310" s="372">
        <f>-('&lt;参考&gt;●総コスト算出WS'!I108+'&lt;参考&gt;●総コスト算出WS'!I121)</f>
        <v>0</v>
      </c>
      <c r="L310" s="372">
        <f>-('&lt;参考&gt;●総コスト算出WS'!J108+'&lt;参考&gt;●総コスト算出WS'!J121)</f>
        <v>0</v>
      </c>
      <c r="M310" s="372">
        <f>-('&lt;参考&gt;●総コスト算出WS'!K108+'&lt;参考&gt;●総コスト算出WS'!K121)</f>
        <v>0</v>
      </c>
      <c r="N310" s="372">
        <f>-('&lt;参考&gt;●総コスト算出WS'!L108+'&lt;参考&gt;●総コスト算出WS'!L121)</f>
        <v>0</v>
      </c>
      <c r="O310" s="372">
        <f>-('&lt;参考&gt;●総コスト算出WS'!M108+'&lt;参考&gt;●総コスト算出WS'!M121)</f>
        <v>0</v>
      </c>
      <c r="P310" s="372">
        <f>-('&lt;参考&gt;●総コスト算出WS'!N108+'&lt;参考&gt;●総コスト算出WS'!N121)</f>
        <v>0</v>
      </c>
      <c r="Q310" s="372">
        <f>-('&lt;参考&gt;●総コスト算出WS'!O108+'&lt;参考&gt;●総コスト算出WS'!O121)</f>
        <v>0</v>
      </c>
    </row>
    <row r="311" spans="3:19" hidden="1">
      <c r="C311" s="82"/>
      <c r="F311" s="372" t="s">
        <v>320</v>
      </c>
      <c r="G311" s="372">
        <f t="shared" ref="G311:O311" ca="1" si="24">SUM(G306:G310)</f>
        <v>0</v>
      </c>
      <c r="H311" s="372">
        <f t="shared" ca="1" si="24"/>
        <v>-66000</v>
      </c>
      <c r="I311" s="372">
        <f t="shared" ca="1" si="24"/>
        <v>659361.00000000093</v>
      </c>
      <c r="J311" s="372">
        <f t="shared" ca="1" si="24"/>
        <v>861240</v>
      </c>
      <c r="K311" s="372">
        <f t="shared" ca="1" si="24"/>
        <v>1085550</v>
      </c>
      <c r="L311" s="372">
        <f t="shared" ca="1" si="24"/>
        <v>1309860</v>
      </c>
      <c r="M311" s="372">
        <f t="shared" ca="1" si="24"/>
        <v>1309860</v>
      </c>
      <c r="N311" s="372">
        <f t="shared" ca="1" si="24"/>
        <v>1309860</v>
      </c>
      <c r="O311" s="372">
        <f t="shared" ca="1" si="24"/>
        <v>1243860</v>
      </c>
      <c r="P311" s="372">
        <f ca="1">SUM(P306:P310)</f>
        <v>1273860</v>
      </c>
      <c r="Q311" s="372">
        <f ca="1">SUM(Q306:Q310)</f>
        <v>1273860</v>
      </c>
    </row>
    <row r="312" spans="3:19">
      <c r="C312" s="82"/>
      <c r="F312" s="372" t="s">
        <v>214</v>
      </c>
      <c r="G312" s="372">
        <f ca="1">G311</f>
        <v>0</v>
      </c>
      <c r="H312" s="372">
        <f t="shared" ref="H312:Q312" ca="1" si="25">G312+H311</f>
        <v>-66000</v>
      </c>
      <c r="I312" s="372">
        <f t="shared" ca="1" si="25"/>
        <v>593361.00000000093</v>
      </c>
      <c r="J312" s="372">
        <f t="shared" ca="1" si="25"/>
        <v>1454601.0000000009</v>
      </c>
      <c r="K312" s="372">
        <f t="shared" ca="1" si="25"/>
        <v>2540151.0000000009</v>
      </c>
      <c r="L312" s="372">
        <f t="shared" ca="1" si="25"/>
        <v>3850011.0000000009</v>
      </c>
      <c r="M312" s="372">
        <f t="shared" ca="1" si="25"/>
        <v>5159871.0000000009</v>
      </c>
      <c r="N312" s="372">
        <f t="shared" ca="1" si="25"/>
        <v>6469731.0000000009</v>
      </c>
      <c r="O312" s="372">
        <f t="shared" ca="1" si="25"/>
        <v>7713591.0000000009</v>
      </c>
      <c r="P312" s="372">
        <f t="shared" ca="1" si="25"/>
        <v>8987451</v>
      </c>
      <c r="Q312" s="372">
        <f t="shared" ca="1" si="25"/>
        <v>10261311</v>
      </c>
    </row>
    <row r="313" spans="3:19" ht="13.5" customHeight="1">
      <c r="F313" s="372" t="s">
        <v>431</v>
      </c>
      <c r="G313" s="439">
        <f>G295</f>
        <v>0</v>
      </c>
      <c r="H313" s="439">
        <f t="shared" ref="H313:Q313" si="26">H295</f>
        <v>0</v>
      </c>
      <c r="I313" s="439">
        <f t="shared" si="26"/>
        <v>0.31</v>
      </c>
      <c r="J313" s="439">
        <f t="shared" si="26"/>
        <v>0.4</v>
      </c>
      <c r="K313" s="439">
        <f t="shared" si="26"/>
        <v>0.5</v>
      </c>
      <c r="L313" s="439">
        <f t="shared" si="26"/>
        <v>0.6</v>
      </c>
      <c r="M313" s="439">
        <f t="shared" si="26"/>
        <v>0.6</v>
      </c>
      <c r="N313" s="439">
        <f t="shared" si="26"/>
        <v>0.6</v>
      </c>
      <c r="O313" s="439">
        <f t="shared" si="26"/>
        <v>0.6</v>
      </c>
      <c r="P313" s="439">
        <f t="shared" si="26"/>
        <v>0.6</v>
      </c>
      <c r="Q313" s="439">
        <f t="shared" si="26"/>
        <v>0.6</v>
      </c>
      <c r="S313" s="364"/>
    </row>
    <row r="314" spans="3:19" ht="13.5" customHeight="1">
      <c r="F314" s="372" t="s">
        <v>432</v>
      </c>
      <c r="G314" s="439">
        <f>G296</f>
        <v>0</v>
      </c>
      <c r="H314" s="439">
        <f t="shared" ref="H314:Q314" si="27">H296</f>
        <v>0</v>
      </c>
      <c r="I314" s="439">
        <f t="shared" si="27"/>
        <v>0</v>
      </c>
      <c r="J314" s="439">
        <f t="shared" si="27"/>
        <v>0</v>
      </c>
      <c r="K314" s="439">
        <f t="shared" si="27"/>
        <v>0</v>
      </c>
      <c r="L314" s="439">
        <f t="shared" si="27"/>
        <v>0</v>
      </c>
      <c r="M314" s="439">
        <f t="shared" si="27"/>
        <v>0</v>
      </c>
      <c r="N314" s="439">
        <f t="shared" si="27"/>
        <v>0</v>
      </c>
      <c r="O314" s="439">
        <f t="shared" si="27"/>
        <v>0</v>
      </c>
      <c r="P314" s="439">
        <f t="shared" si="27"/>
        <v>0</v>
      </c>
      <c r="Q314" s="439">
        <f t="shared" si="27"/>
        <v>0</v>
      </c>
      <c r="S314" s="364"/>
    </row>
    <row r="315" spans="3:19">
      <c r="C315" s="82"/>
    </row>
    <row r="316" spans="3:19">
      <c r="C316" s="82"/>
    </row>
    <row r="317" spans="3:19">
      <c r="C317" s="82"/>
    </row>
    <row r="318" spans="3:19">
      <c r="C318" s="82"/>
    </row>
    <row r="319" spans="3:19">
      <c r="C319" s="82"/>
    </row>
    <row r="320" spans="3:19">
      <c r="C320" s="82"/>
    </row>
    <row r="321" spans="3:3">
      <c r="C321" s="82"/>
    </row>
    <row r="322" spans="3:3">
      <c r="C322" s="82"/>
    </row>
    <row r="323" spans="3:3">
      <c r="C323" s="82"/>
    </row>
    <row r="324" spans="3:3">
      <c r="C324" s="82"/>
    </row>
    <row r="325" spans="3:3">
      <c r="C325" s="82"/>
    </row>
    <row r="326" spans="3:3">
      <c r="C326" s="82"/>
    </row>
    <row r="327" spans="3:3">
      <c r="C327" s="82"/>
    </row>
    <row r="328" spans="3:3">
      <c r="C328" s="82"/>
    </row>
    <row r="329" spans="3:3">
      <c r="C329" s="82"/>
    </row>
    <row r="330" spans="3:3">
      <c r="C330" s="82"/>
    </row>
    <row r="331" spans="3:3">
      <c r="C331" s="82"/>
    </row>
    <row r="332" spans="3:3">
      <c r="C332" s="82"/>
    </row>
    <row r="333" spans="3:3">
      <c r="C333" s="82"/>
    </row>
    <row r="334" spans="3:3">
      <c r="C334" s="82"/>
    </row>
    <row r="335" spans="3:3">
      <c r="C335" s="82"/>
    </row>
    <row r="336" spans="3:3">
      <c r="C336" s="82"/>
    </row>
    <row r="337" spans="3:3">
      <c r="C337" s="82"/>
    </row>
    <row r="338" spans="3:3">
      <c r="C338" s="82"/>
    </row>
    <row r="339" spans="3:3">
      <c r="C339" s="82"/>
    </row>
    <row r="340" spans="3:3">
      <c r="C340" s="82"/>
    </row>
    <row r="341" spans="3:3">
      <c r="C341" s="82"/>
    </row>
    <row r="342" spans="3:3">
      <c r="C342" s="82"/>
    </row>
    <row r="343" spans="3:3">
      <c r="C343" s="82"/>
    </row>
    <row r="344" spans="3:3">
      <c r="C344" s="82"/>
    </row>
    <row r="345" spans="3:3">
      <c r="C345" s="82"/>
    </row>
    <row r="346" spans="3:3">
      <c r="C346" s="82"/>
    </row>
    <row r="347" spans="3:3">
      <c r="C347" s="82"/>
    </row>
    <row r="348" spans="3:3">
      <c r="C348" s="82"/>
    </row>
    <row r="349" spans="3:3">
      <c r="C349" s="82"/>
    </row>
    <row r="350" spans="3:3">
      <c r="C350" s="82"/>
    </row>
    <row r="351" spans="3:3">
      <c r="C351" s="82"/>
    </row>
    <row r="352" spans="3:3">
      <c r="C352" s="82"/>
    </row>
    <row r="353" spans="2:18">
      <c r="C353" s="82"/>
    </row>
    <row r="354" spans="2:18">
      <c r="C354" s="82"/>
    </row>
    <row r="355" spans="2:18">
      <c r="C355" s="82"/>
    </row>
    <row r="356" spans="2:18">
      <c r="C356" s="82"/>
    </row>
    <row r="357" spans="2:18">
      <c r="C357" s="82"/>
    </row>
    <row r="358" spans="2:18">
      <c r="C358" s="82"/>
    </row>
    <row r="359" spans="2:18" ht="24">
      <c r="B359" s="369" t="s">
        <v>642</v>
      </c>
      <c r="C359" s="368"/>
    </row>
    <row r="360" spans="2:18" ht="24">
      <c r="B360" s="369"/>
      <c r="C360" s="368"/>
    </row>
    <row r="361" spans="2:18" ht="18.75">
      <c r="B361" s="482" t="s">
        <v>404</v>
      </c>
      <c r="C361" s="482"/>
      <c r="D361" s="482"/>
      <c r="E361" s="482"/>
      <c r="G361" s="482" t="s">
        <v>321</v>
      </c>
      <c r="H361" s="482"/>
      <c r="I361" s="482"/>
      <c r="J361" s="482"/>
    </row>
    <row r="362" spans="2:18" ht="18.75">
      <c r="B362" s="1456" t="s">
        <v>396</v>
      </c>
      <c r="C362" s="1457"/>
      <c r="D362" s="476" t="s">
        <v>397</v>
      </c>
      <c r="E362" s="477"/>
      <c r="G362" s="1459" t="s">
        <v>314</v>
      </c>
      <c r="H362" s="1459"/>
      <c r="I362" s="1460">
        <f>投資情報!$I$5+1</f>
        <v>2</v>
      </c>
      <c r="J362" s="1461"/>
    </row>
    <row r="363" spans="2:18" ht="18.75">
      <c r="B363" s="1456" t="s">
        <v>394</v>
      </c>
      <c r="C363" s="1457"/>
      <c r="D363" s="478"/>
      <c r="E363" s="479" t="s">
        <v>352</v>
      </c>
      <c r="G363" s="1459" t="s">
        <v>315</v>
      </c>
      <c r="H363" s="1459"/>
      <c r="I363" s="1460">
        <f>投資情報!$W$5+1</f>
        <v>9</v>
      </c>
      <c r="J363" s="1461"/>
    </row>
    <row r="364" spans="2:18" ht="18.75">
      <c r="B364" s="1477" t="s">
        <v>402</v>
      </c>
      <c r="C364" s="1478"/>
      <c r="D364" s="476" t="s">
        <v>403</v>
      </c>
      <c r="E364" s="477"/>
    </row>
    <row r="365" spans="2:18" s="128" customFormat="1" ht="18.75">
      <c r="B365" s="480" t="s">
        <v>789</v>
      </c>
      <c r="C365" s="480"/>
      <c r="D365" s="481">
        <f>'&lt;参考&gt;●現在の業務の総コスト'!$G$6</f>
        <v>7200</v>
      </c>
      <c r="E365" s="479" t="s">
        <v>399</v>
      </c>
      <c r="G365" s="482" t="s">
        <v>726</v>
      </c>
      <c r="L365" s="482" t="s">
        <v>308</v>
      </c>
      <c r="M365" s="482"/>
      <c r="N365" s="482"/>
      <c r="O365" s="482"/>
      <c r="P365" s="482"/>
      <c r="Q365" s="482"/>
    </row>
    <row r="366" spans="2:18" s="365" customFormat="1" ht="20.100000000000001" customHeight="1">
      <c r="B366" s="480" t="s">
        <v>398</v>
      </c>
      <c r="C366" s="480"/>
      <c r="D366" s="481">
        <f>'&lt;参考&gt;●現在の業務の総コスト'!$G$5</f>
        <v>2400</v>
      </c>
      <c r="E366" s="479" t="s">
        <v>399</v>
      </c>
      <c r="G366" s="1513"/>
      <c r="H366" s="1448" t="s">
        <v>279</v>
      </c>
      <c r="I366" s="1448" t="s">
        <v>280</v>
      </c>
      <c r="L366" s="1456" t="s">
        <v>405</v>
      </c>
      <c r="M366" s="1457"/>
      <c r="N366" s="1455" t="str">
        <f>B359</f>
        <v>業務ソフト活用タイプ</v>
      </c>
      <c r="O366" s="1455"/>
      <c r="P366" s="1455"/>
      <c r="Q366" s="1455"/>
      <c r="R366"/>
    </row>
    <row r="367" spans="2:18" s="365" customFormat="1" ht="20.100000000000001" customHeight="1">
      <c r="B367" s="480" t="s">
        <v>34</v>
      </c>
      <c r="C367" s="480"/>
      <c r="D367" s="481">
        <f>'&lt;参考&gt;●現在の業務の総コスト'!$O$6</f>
        <v>0</v>
      </c>
      <c r="E367" s="479" t="s">
        <v>399</v>
      </c>
      <c r="G367" s="1513"/>
      <c r="H367" s="1449"/>
      <c r="I367" s="1449"/>
      <c r="L367" s="1456" t="s">
        <v>277</v>
      </c>
      <c r="M367" s="1457"/>
      <c r="N367" s="1454" t="e">
        <f ca="1">TEXT(ROUNDDOWN((投資情報!W131*$C$1),-LOG(投資情報!W131)+1),"\#,##0;\-#,##0")&amp;" ～ "&amp;TEXT(ROUNDUP((投資情報!W131*$E$1),-LOG(投資情報!W131)+1),"\#,##0;\-#,##0")</f>
        <v>#NUM!</v>
      </c>
      <c r="O367" s="1454"/>
      <c r="P367" s="1454"/>
      <c r="Q367" s="1454"/>
      <c r="R367"/>
    </row>
    <row r="368" spans="2:18" s="365" customFormat="1" ht="20.100000000000001" customHeight="1">
      <c r="G368" s="474">
        <f>$G$117</f>
        <v>1</v>
      </c>
      <c r="H368" s="475">
        <f>$H$117</f>
        <v>0.2</v>
      </c>
      <c r="I368" s="475">
        <f>$I$117</f>
        <v>0</v>
      </c>
      <c r="L368" s="1456" t="s">
        <v>278</v>
      </c>
      <c r="M368" s="1457"/>
      <c r="N368" s="1454" t="e">
        <f ca="1">TEXT(ROUNDDOWN((投資情報!W132/12*$C$1),-LOG(投資情報!W132/12)+1),"\#,##0;\-#,##0")&amp;" ～ "&amp;TEXT(ROUNDUP((投資情報!W132/12*$E$1),-LOG(投資情報!W132/12)+1),"\#,##0;\-#,##0")</f>
        <v>#NUM!</v>
      </c>
      <c r="O368" s="1454"/>
      <c r="P368" s="1454"/>
      <c r="Q368" s="1454"/>
      <c r="R368"/>
    </row>
    <row r="369" spans="2:19" s="365" customFormat="1" ht="20.100000000000001" customHeight="1">
      <c r="F369" s="128"/>
      <c r="G369" s="474">
        <f>$G$118</f>
        <v>3</v>
      </c>
      <c r="H369" s="475">
        <f>$H$118</f>
        <v>0.4</v>
      </c>
      <c r="I369" s="475">
        <f>$I$118</f>
        <v>0</v>
      </c>
      <c r="L369" s="1456" t="s">
        <v>395</v>
      </c>
      <c r="M369" s="1457"/>
      <c r="N369" s="1453" t="str">
        <f>"ハードウェア "&amp;投資情報!$I$4&amp;" 年毎更新"</f>
        <v>ハードウェア 5 年毎更新</v>
      </c>
      <c r="O369" s="1453"/>
      <c r="P369" s="1453"/>
      <c r="Q369" s="1453"/>
      <c r="R369"/>
    </row>
    <row r="370" spans="2:19" s="365" customFormat="1" ht="20.100000000000001" customHeight="1">
      <c r="G370" s="474">
        <f>$G$119</f>
        <v>5</v>
      </c>
      <c r="H370" s="475">
        <f>$H$119</f>
        <v>0.6</v>
      </c>
      <c r="I370" s="475">
        <f>$I$119</f>
        <v>0</v>
      </c>
      <c r="J370"/>
      <c r="L370"/>
      <c r="M370"/>
      <c r="N370"/>
      <c r="O370"/>
      <c r="P370"/>
      <c r="Q370"/>
      <c r="R370"/>
    </row>
    <row r="371" spans="2:19" ht="20.100000000000001" customHeight="1">
      <c r="F371" s="365"/>
      <c r="L371" s="482" t="s">
        <v>317</v>
      </c>
      <c r="M371" s="435"/>
      <c r="N371" s="483"/>
      <c r="O371" s="483"/>
      <c r="P371" s="483"/>
      <c r="Q371" s="435"/>
    </row>
    <row r="372" spans="2:19" ht="20.100000000000001" customHeight="1">
      <c r="L372" s="1456" t="s">
        <v>309</v>
      </c>
      <c r="M372" s="1457"/>
      <c r="N372" s="1452">
        <f>投資情報!$N$135</f>
        <v>0</v>
      </c>
      <c r="O372" s="1452"/>
      <c r="P372" s="1452"/>
      <c r="Q372" s="1452"/>
    </row>
    <row r="373" spans="2:19" ht="20.100000000000001" customHeight="1">
      <c r="B373" s="83"/>
      <c r="C373" s="1494"/>
      <c r="D373" s="1494"/>
      <c r="E373" s="1523"/>
      <c r="F373" s="1523"/>
      <c r="G373" s="364"/>
      <c r="L373" s="1456" t="s">
        <v>310</v>
      </c>
      <c r="M373" s="1457"/>
      <c r="N373" s="1451" t="str">
        <f>投資情報!$N$136&amp;"人日／初年度 + "&amp;投資情報!$N$137&amp;"人日／年"</f>
        <v>0人日／初年度 + 0人日／年</v>
      </c>
      <c r="O373" s="1451"/>
      <c r="P373" s="1451"/>
      <c r="Q373" s="1451"/>
    </row>
    <row r="374" spans="2:19" ht="20.100000000000001" customHeight="1">
      <c r="H374" s="364"/>
      <c r="L374" s="1456" t="s">
        <v>311</v>
      </c>
      <c r="M374" s="1457"/>
      <c r="N374" s="1450">
        <f>投資情報!$N$138</f>
        <v>0</v>
      </c>
      <c r="O374" s="1450"/>
      <c r="P374" s="1450"/>
      <c r="Q374" s="1450"/>
    </row>
    <row r="375" spans="2:19" ht="20.100000000000001" customHeight="1">
      <c r="H375" s="364"/>
      <c r="L375" s="1456" t="s">
        <v>312</v>
      </c>
      <c r="M375" s="1457"/>
      <c r="N375" s="1450">
        <f>投資情報!$N$139</f>
        <v>0</v>
      </c>
      <c r="O375" s="1450"/>
      <c r="P375" s="1450"/>
      <c r="Q375" s="1450"/>
    </row>
    <row r="377" spans="2:19" ht="18" customHeight="1" thickBot="1">
      <c r="Q377" s="376" t="s">
        <v>808</v>
      </c>
    </row>
    <row r="378" spans="2:19" s="370" customFormat="1" ht="21.75" thickBot="1">
      <c r="D378" s="1510" t="s">
        <v>325</v>
      </c>
      <c r="E378" s="1511"/>
      <c r="F378" s="1512"/>
      <c r="G378" s="459" t="s">
        <v>313</v>
      </c>
      <c r="H378" s="460" t="s">
        <v>236</v>
      </c>
      <c r="I378" s="460" t="s">
        <v>237</v>
      </c>
      <c r="J378" s="460" t="s">
        <v>238</v>
      </c>
      <c r="K378" s="460" t="s">
        <v>239</v>
      </c>
      <c r="L378" s="460" t="s">
        <v>240</v>
      </c>
      <c r="M378" s="460" t="s">
        <v>241</v>
      </c>
      <c r="N378" s="460" t="s">
        <v>242</v>
      </c>
      <c r="O378" s="460" t="s">
        <v>243</v>
      </c>
      <c r="P378" s="460" t="s">
        <v>244</v>
      </c>
      <c r="Q378" s="461" t="s">
        <v>245</v>
      </c>
    </row>
    <row r="379" spans="2:19" s="370" customFormat="1" ht="24" customHeight="1">
      <c r="D379" s="1481" t="s">
        <v>269</v>
      </c>
      <c r="E379" s="1482"/>
      <c r="F379" s="1483"/>
      <c r="G379" s="449">
        <f>$G$6</f>
        <v>1</v>
      </c>
      <c r="H379" s="450">
        <f>$H$6</f>
        <v>1</v>
      </c>
      <c r="I379" s="450">
        <f>$I$6</f>
        <v>1</v>
      </c>
      <c r="J379" s="450">
        <f>$J$6</f>
        <v>1</v>
      </c>
      <c r="K379" s="450">
        <f>$K$6</f>
        <v>1</v>
      </c>
      <c r="L379" s="450">
        <f>$L$6</f>
        <v>1</v>
      </c>
      <c r="M379" s="450">
        <f>$M$6</f>
        <v>1</v>
      </c>
      <c r="N379" s="450">
        <f>$N$6</f>
        <v>1</v>
      </c>
      <c r="O379" s="450">
        <f>$O$6</f>
        <v>1</v>
      </c>
      <c r="P379" s="450">
        <f>$P$6</f>
        <v>1</v>
      </c>
      <c r="Q379" s="450">
        <f>$Q$6</f>
        <v>1</v>
      </c>
    </row>
    <row r="380" spans="2:19" s="370" customFormat="1" ht="24" customHeight="1">
      <c r="D380" s="1491" t="s">
        <v>274</v>
      </c>
      <c r="E380" s="1492"/>
      <c r="F380" s="1493"/>
      <c r="G380" s="451">
        <f>$G$7</f>
        <v>0</v>
      </c>
      <c r="H380" s="452">
        <f>$H$7</f>
        <v>0</v>
      </c>
      <c r="I380" s="452">
        <f>$I$7</f>
        <v>0.31</v>
      </c>
      <c r="J380" s="452">
        <f>$J$7</f>
        <v>0.4</v>
      </c>
      <c r="K380" s="452">
        <f>$K$7</f>
        <v>0.5</v>
      </c>
      <c r="L380" s="452">
        <f>$L$7</f>
        <v>0.6</v>
      </c>
      <c r="M380" s="452">
        <f>$M$7</f>
        <v>0.6</v>
      </c>
      <c r="N380" s="452">
        <f>$N$7</f>
        <v>0.6</v>
      </c>
      <c r="O380" s="452">
        <f>$O$7</f>
        <v>0.6</v>
      </c>
      <c r="P380" s="452">
        <f>$P$7</f>
        <v>0.6</v>
      </c>
      <c r="Q380" s="452">
        <f>$Q$7</f>
        <v>0.6</v>
      </c>
    </row>
    <row r="381" spans="2:19" s="370" customFormat="1" ht="24" customHeight="1" thickBot="1">
      <c r="D381" s="1495" t="s">
        <v>275</v>
      </c>
      <c r="E381" s="1496"/>
      <c r="F381" s="1497"/>
      <c r="G381" s="453">
        <f>$G$8</f>
        <v>0</v>
      </c>
      <c r="H381" s="454">
        <f>$H$8</f>
        <v>0</v>
      </c>
      <c r="I381" s="454">
        <f>$I$8</f>
        <v>0</v>
      </c>
      <c r="J381" s="454">
        <f>$J$8</f>
        <v>0</v>
      </c>
      <c r="K381" s="454">
        <f>$K$8</f>
        <v>0</v>
      </c>
      <c r="L381" s="454">
        <f>$L$8</f>
        <v>0</v>
      </c>
      <c r="M381" s="454">
        <f>$M$8</f>
        <v>0</v>
      </c>
      <c r="N381" s="454">
        <f>$N$8</f>
        <v>0</v>
      </c>
      <c r="O381" s="454">
        <f>$O$8</f>
        <v>0</v>
      </c>
      <c r="P381" s="454">
        <f>$P$8</f>
        <v>0</v>
      </c>
      <c r="Q381" s="454">
        <f>$Q$8</f>
        <v>0</v>
      </c>
    </row>
    <row r="382" spans="2:19" ht="31.5" customHeight="1" thickBot="1">
      <c r="D382" s="455" t="s">
        <v>323</v>
      </c>
      <c r="E382" s="1489" t="s">
        <v>170</v>
      </c>
      <c r="F382" s="1490"/>
      <c r="G382" s="462">
        <f t="shared" ref="G382:Q382" ca="1" si="28">G391/1000</f>
        <v>0</v>
      </c>
      <c r="H382" s="463">
        <f t="shared" ca="1" si="28"/>
        <v>0</v>
      </c>
      <c r="I382" s="463">
        <f t="shared" ca="1" si="28"/>
        <v>695.3610000000009</v>
      </c>
      <c r="J382" s="463">
        <f t="shared" ca="1" si="28"/>
        <v>897.24</v>
      </c>
      <c r="K382" s="463">
        <f t="shared" ca="1" si="28"/>
        <v>1121.55</v>
      </c>
      <c r="L382" s="463">
        <f t="shared" ca="1" si="28"/>
        <v>1345.86</v>
      </c>
      <c r="M382" s="463">
        <f t="shared" ca="1" si="28"/>
        <v>1345.86</v>
      </c>
      <c r="N382" s="463">
        <f t="shared" ca="1" si="28"/>
        <v>1345.86</v>
      </c>
      <c r="O382" s="463">
        <f t="shared" ca="1" si="28"/>
        <v>1345.86</v>
      </c>
      <c r="P382" s="463">
        <f t="shared" ca="1" si="28"/>
        <v>1345.86</v>
      </c>
      <c r="Q382" s="464">
        <f t="shared" ca="1" si="28"/>
        <v>1345.86</v>
      </c>
      <c r="S382" s="364"/>
    </row>
    <row r="383" spans="2:19" ht="31.5" customHeight="1">
      <c r="D383" s="456" t="s">
        <v>324</v>
      </c>
      <c r="E383" s="1487" t="s">
        <v>322</v>
      </c>
      <c r="F383" s="1488"/>
      <c r="G383" s="465">
        <f t="shared" ref="G383:Q383" si="29">G395/1000</f>
        <v>0</v>
      </c>
      <c r="H383" s="466">
        <f t="shared" si="29"/>
        <v>0</v>
      </c>
      <c r="I383" s="466">
        <f t="shared" si="29"/>
        <v>0</v>
      </c>
      <c r="J383" s="466">
        <f t="shared" si="29"/>
        <v>0</v>
      </c>
      <c r="K383" s="466">
        <f t="shared" si="29"/>
        <v>0</v>
      </c>
      <c r="L383" s="466">
        <f t="shared" si="29"/>
        <v>0</v>
      </c>
      <c r="M383" s="466">
        <f t="shared" si="29"/>
        <v>0</v>
      </c>
      <c r="N383" s="466">
        <f t="shared" si="29"/>
        <v>0</v>
      </c>
      <c r="O383" s="466">
        <f t="shared" si="29"/>
        <v>0</v>
      </c>
      <c r="P383" s="466">
        <f t="shared" si="29"/>
        <v>0</v>
      </c>
      <c r="Q383" s="467">
        <f t="shared" si="29"/>
        <v>0</v>
      </c>
      <c r="S383" s="364"/>
    </row>
    <row r="384" spans="2:19" ht="31.5" customHeight="1">
      <c r="D384" s="457"/>
      <c r="E384" s="1519" t="s">
        <v>316</v>
      </c>
      <c r="F384" s="1520"/>
      <c r="G384" s="468">
        <f t="shared" ref="G384:Q384" si="30">G394/1000</f>
        <v>0</v>
      </c>
      <c r="H384" s="469">
        <f t="shared" si="30"/>
        <v>0</v>
      </c>
      <c r="I384" s="469">
        <f t="shared" si="30"/>
        <v>0</v>
      </c>
      <c r="J384" s="469">
        <f t="shared" si="30"/>
        <v>0</v>
      </c>
      <c r="K384" s="469">
        <f t="shared" si="30"/>
        <v>0</v>
      </c>
      <c r="L384" s="469">
        <f t="shared" si="30"/>
        <v>0</v>
      </c>
      <c r="M384" s="469">
        <f t="shared" si="30"/>
        <v>0</v>
      </c>
      <c r="N384" s="469">
        <f t="shared" si="30"/>
        <v>0</v>
      </c>
      <c r="O384" s="469">
        <f t="shared" si="30"/>
        <v>0</v>
      </c>
      <c r="P384" s="469">
        <f t="shared" si="30"/>
        <v>0</v>
      </c>
      <c r="Q384" s="470">
        <f t="shared" si="30"/>
        <v>0</v>
      </c>
      <c r="S384" s="364"/>
    </row>
    <row r="385" spans="3:19" ht="31.5" customHeight="1">
      <c r="D385" s="457"/>
      <c r="E385" s="1519" t="s">
        <v>319</v>
      </c>
      <c r="F385" s="1520"/>
      <c r="G385" s="468">
        <f t="shared" ref="G385:Q385" si="31">G393/1000</f>
        <v>0</v>
      </c>
      <c r="H385" s="469">
        <f t="shared" si="31"/>
        <v>0</v>
      </c>
      <c r="I385" s="469">
        <f t="shared" si="31"/>
        <v>0</v>
      </c>
      <c r="J385" s="469">
        <f t="shared" si="31"/>
        <v>0</v>
      </c>
      <c r="K385" s="469">
        <f t="shared" si="31"/>
        <v>0</v>
      </c>
      <c r="L385" s="469">
        <f t="shared" si="31"/>
        <v>0</v>
      </c>
      <c r="M385" s="469">
        <f t="shared" si="31"/>
        <v>0</v>
      </c>
      <c r="N385" s="469">
        <f t="shared" si="31"/>
        <v>0</v>
      </c>
      <c r="O385" s="469">
        <f t="shared" si="31"/>
        <v>0</v>
      </c>
      <c r="P385" s="469">
        <f t="shared" si="31"/>
        <v>0</v>
      </c>
      <c r="Q385" s="470">
        <f t="shared" si="31"/>
        <v>0</v>
      </c>
      <c r="S385" s="364"/>
    </row>
    <row r="386" spans="3:19" ht="31.5" customHeight="1" thickBot="1">
      <c r="D386" s="458"/>
      <c r="E386" s="1521" t="s">
        <v>318</v>
      </c>
      <c r="F386" s="1522"/>
      <c r="G386" s="471">
        <f t="shared" ref="G386:Q386" si="32">G392/1000</f>
        <v>0</v>
      </c>
      <c r="H386" s="472">
        <f t="shared" si="32"/>
        <v>0</v>
      </c>
      <c r="I386" s="472">
        <f t="shared" si="32"/>
        <v>0</v>
      </c>
      <c r="J386" s="472">
        <f t="shared" si="32"/>
        <v>0</v>
      </c>
      <c r="K386" s="472">
        <f t="shared" si="32"/>
        <v>0</v>
      </c>
      <c r="L386" s="472">
        <f t="shared" si="32"/>
        <v>0</v>
      </c>
      <c r="M386" s="472">
        <f t="shared" si="32"/>
        <v>0</v>
      </c>
      <c r="N386" s="472">
        <f t="shared" si="32"/>
        <v>0</v>
      </c>
      <c r="O386" s="472">
        <f t="shared" si="32"/>
        <v>0</v>
      </c>
      <c r="P386" s="472">
        <f t="shared" si="32"/>
        <v>0</v>
      </c>
      <c r="Q386" s="473">
        <f t="shared" si="32"/>
        <v>0</v>
      </c>
      <c r="S386" s="364"/>
    </row>
    <row r="390" spans="3:19">
      <c r="C390" s="82"/>
      <c r="F390" s="374"/>
      <c r="G390" s="374" t="s">
        <v>313</v>
      </c>
      <c r="H390" s="374" t="s">
        <v>236</v>
      </c>
      <c r="I390" s="374" t="s">
        <v>237</v>
      </c>
      <c r="J390" s="374" t="s">
        <v>238</v>
      </c>
      <c r="K390" s="374" t="s">
        <v>239</v>
      </c>
      <c r="L390" s="374" t="s">
        <v>240</v>
      </c>
      <c r="M390" s="374" t="s">
        <v>241</v>
      </c>
      <c r="N390" s="374" t="s">
        <v>242</v>
      </c>
      <c r="O390" s="374" t="s">
        <v>243</v>
      </c>
      <c r="P390" s="374" t="s">
        <v>244</v>
      </c>
      <c r="Q390" s="374" t="s">
        <v>245</v>
      </c>
    </row>
    <row r="391" spans="3:19">
      <c r="C391" s="82"/>
      <c r="F391" s="372" t="s">
        <v>170</v>
      </c>
      <c r="G391" s="372">
        <f ca="1">'&lt;参考&gt;●総コスト算出WS'!$E$43*$G$6</f>
        <v>0</v>
      </c>
      <c r="H391" s="372">
        <f ca="1">'&lt;参考&gt;●総コスト算出WS'!$F$43*$H$6</f>
        <v>0</v>
      </c>
      <c r="I391" s="372">
        <f ca="1">'&lt;参考&gt;●総コスト算出WS'!$G$43*$I$6</f>
        <v>695361.00000000093</v>
      </c>
      <c r="J391" s="372">
        <f ca="1">'&lt;参考&gt;●総コスト算出WS'!$H$43*$J$6</f>
        <v>897240</v>
      </c>
      <c r="K391" s="372">
        <f ca="1">'&lt;参考&gt;●総コスト算出WS'!$I$43*$K$6</f>
        <v>1121550</v>
      </c>
      <c r="L391" s="372">
        <f ca="1">'&lt;参考&gt;●総コスト算出WS'!$J$43*$L$6</f>
        <v>1345860</v>
      </c>
      <c r="M391" s="372">
        <f ca="1">'&lt;参考&gt;●総コスト算出WS'!$K$43*$M$6</f>
        <v>1345860</v>
      </c>
      <c r="N391" s="372">
        <f ca="1">'&lt;参考&gt;●総コスト算出WS'!$L$43*$N$6</f>
        <v>1345860</v>
      </c>
      <c r="O391" s="372">
        <f ca="1">'&lt;参考&gt;●総コスト算出WS'!$M$43*$O$6</f>
        <v>1345860</v>
      </c>
      <c r="P391" s="372">
        <f ca="1">'&lt;参考&gt;●総コスト算出WS'!$N$43*$P$6</f>
        <v>1345860</v>
      </c>
      <c r="Q391" s="372">
        <f ca="1">'&lt;参考&gt;●総コスト算出WS'!$O$43*$Q$6</f>
        <v>1345860</v>
      </c>
    </row>
    <row r="392" spans="3:19">
      <c r="C392" s="82"/>
      <c r="F392" s="372" t="s">
        <v>318</v>
      </c>
      <c r="G392" s="372">
        <f>-(SUM('&lt;参考&gt;●総コスト算出WS'!E145:E148)+SUM('&lt;参考&gt;●総コスト算出WS'!E158:E160))</f>
        <v>0</v>
      </c>
      <c r="H392" s="372">
        <f>-(SUM('&lt;参考&gt;●総コスト算出WS'!F145:F148)+SUM('&lt;参考&gt;●総コスト算出WS'!F158:F160))</f>
        <v>0</v>
      </c>
      <c r="I392" s="372">
        <f>-(SUM('&lt;参考&gt;●総コスト算出WS'!G145:G148)+SUM('&lt;参考&gt;●総コスト算出WS'!G158:G160))</f>
        <v>0</v>
      </c>
      <c r="J392" s="372">
        <f>-(SUM('&lt;参考&gt;●総コスト算出WS'!H145:H148)+SUM('&lt;参考&gt;●総コスト算出WS'!H158:H160))</f>
        <v>0</v>
      </c>
      <c r="K392" s="372">
        <f>-(SUM('&lt;参考&gt;●総コスト算出WS'!I145:I148)+SUM('&lt;参考&gt;●総コスト算出WS'!I158:I160))</f>
        <v>0</v>
      </c>
      <c r="L392" s="372">
        <f>-(SUM('&lt;参考&gt;●総コスト算出WS'!J145:J148)+SUM('&lt;参考&gt;●総コスト算出WS'!J158:J160))</f>
        <v>0</v>
      </c>
      <c r="M392" s="372">
        <f>-(SUM('&lt;参考&gt;●総コスト算出WS'!K145:K148)+SUM('&lt;参考&gt;●総コスト算出WS'!K158:K160))</f>
        <v>0</v>
      </c>
      <c r="N392" s="372">
        <f>-(SUM('&lt;参考&gt;●総コスト算出WS'!L145:L148)+SUM('&lt;参考&gt;●総コスト算出WS'!L158:L160))</f>
        <v>0</v>
      </c>
      <c r="O392" s="372">
        <f>-(SUM('&lt;参考&gt;●総コスト算出WS'!M145:M148)+SUM('&lt;参考&gt;●総コスト算出WS'!M158:M160))</f>
        <v>0</v>
      </c>
      <c r="P392" s="372">
        <f>-(SUM('&lt;参考&gt;●総コスト算出WS'!N145:N148)+SUM('&lt;参考&gt;●総コスト算出WS'!N158:N160))</f>
        <v>0</v>
      </c>
      <c r="Q392" s="372">
        <f>-(SUM('&lt;参考&gt;●総コスト算出WS'!O145:O148)+SUM('&lt;参考&gt;●総コスト算出WS'!O158:O160))</f>
        <v>0</v>
      </c>
    </row>
    <row r="393" spans="3:19">
      <c r="C393" s="82"/>
      <c r="F393" s="373" t="s">
        <v>807</v>
      </c>
      <c r="G393" s="373">
        <f>-(SUM('&lt;参考&gt;●総コスト算出WS'!E151:E157))</f>
        <v>0</v>
      </c>
      <c r="H393" s="373">
        <f>-(SUM('&lt;参考&gt;●総コスト算出WS'!F151:F157))</f>
        <v>0</v>
      </c>
      <c r="I393" s="373">
        <f>-(SUM('&lt;参考&gt;●総コスト算出WS'!G151:G157))</f>
        <v>0</v>
      </c>
      <c r="J393" s="373">
        <f>-(SUM('&lt;参考&gt;●総コスト算出WS'!H151:H157))</f>
        <v>0</v>
      </c>
      <c r="K393" s="373">
        <f>-(SUM('&lt;参考&gt;●総コスト算出WS'!I151:I157))</f>
        <v>0</v>
      </c>
      <c r="L393" s="373">
        <f>-(SUM('&lt;参考&gt;●総コスト算出WS'!J151:J157))</f>
        <v>0</v>
      </c>
      <c r="M393" s="373">
        <f>-(SUM('&lt;参考&gt;●総コスト算出WS'!K151:K157))</f>
        <v>0</v>
      </c>
      <c r="N393" s="373">
        <f>-(SUM('&lt;参考&gt;●総コスト算出WS'!L151:L157))</f>
        <v>0</v>
      </c>
      <c r="O393" s="373">
        <f>-(SUM('&lt;参考&gt;●総コスト算出WS'!M151:M157))</f>
        <v>0</v>
      </c>
      <c r="P393" s="373">
        <f>-(SUM('&lt;参考&gt;●総コスト算出WS'!N151:N157))</f>
        <v>0</v>
      </c>
      <c r="Q393" s="373">
        <f>-(SUM('&lt;参考&gt;●総コスト算出WS'!O151:O157))</f>
        <v>0</v>
      </c>
    </row>
    <row r="394" spans="3:19">
      <c r="C394" s="82"/>
      <c r="F394" s="372" t="s">
        <v>316</v>
      </c>
      <c r="G394" s="372">
        <f>-(SUM('&lt;参考&gt;●総コスト算出WS'!E138:E144))</f>
        <v>0</v>
      </c>
      <c r="H394" s="372">
        <f>-(SUM('&lt;参考&gt;●総コスト算出WS'!F138:F144))</f>
        <v>0</v>
      </c>
      <c r="I394" s="372">
        <f>-(SUM('&lt;参考&gt;●総コスト算出WS'!G138:G144))</f>
        <v>0</v>
      </c>
      <c r="J394" s="372">
        <f>-(SUM('&lt;参考&gt;●総コスト算出WS'!H138:H144))</f>
        <v>0</v>
      </c>
      <c r="K394" s="372">
        <f>-(SUM('&lt;参考&gt;●総コスト算出WS'!I138:I144))</f>
        <v>0</v>
      </c>
      <c r="L394" s="372">
        <f>-(SUM('&lt;参考&gt;●総コスト算出WS'!J138:J144))</f>
        <v>0</v>
      </c>
      <c r="M394" s="372">
        <f>-(SUM('&lt;参考&gt;●総コスト算出WS'!K138:K144))</f>
        <v>0</v>
      </c>
      <c r="N394" s="372">
        <f>-(SUM('&lt;参考&gt;●総コスト算出WS'!L138:L144))</f>
        <v>0</v>
      </c>
      <c r="O394" s="372">
        <f>-(SUM('&lt;参考&gt;●総コスト算出WS'!M138:M144))</f>
        <v>0</v>
      </c>
      <c r="P394" s="372">
        <f>-(SUM('&lt;参考&gt;●総コスト算出WS'!N138:N144))</f>
        <v>0</v>
      </c>
      <c r="Q394" s="372">
        <f>-(SUM('&lt;参考&gt;●総コスト算出WS'!O138:O144))</f>
        <v>0</v>
      </c>
    </row>
    <row r="395" spans="3:19">
      <c r="C395" s="82"/>
      <c r="F395" s="372" t="s">
        <v>322</v>
      </c>
      <c r="G395" s="372">
        <f>-('&lt;参考&gt;●総コスト算出WS'!E137+'&lt;参考&gt;●総コスト算出WS'!E150)</f>
        <v>0</v>
      </c>
      <c r="H395" s="372">
        <f>-('&lt;参考&gt;●総コスト算出WS'!F137+'&lt;参考&gt;●総コスト算出WS'!F150)</f>
        <v>0</v>
      </c>
      <c r="I395" s="372">
        <f>-('&lt;参考&gt;●総コスト算出WS'!G137+'&lt;参考&gt;●総コスト算出WS'!G150)</f>
        <v>0</v>
      </c>
      <c r="J395" s="372">
        <f>-('&lt;参考&gt;●総コスト算出WS'!H137+'&lt;参考&gt;●総コスト算出WS'!H150)</f>
        <v>0</v>
      </c>
      <c r="K395" s="372">
        <f>-('&lt;参考&gt;●総コスト算出WS'!I137+'&lt;参考&gt;●総コスト算出WS'!I150)</f>
        <v>0</v>
      </c>
      <c r="L395" s="372">
        <f>-('&lt;参考&gt;●総コスト算出WS'!J137+'&lt;参考&gt;●総コスト算出WS'!J150)</f>
        <v>0</v>
      </c>
      <c r="M395" s="372">
        <f>-('&lt;参考&gt;●総コスト算出WS'!K137+'&lt;参考&gt;●総コスト算出WS'!K150)</f>
        <v>0</v>
      </c>
      <c r="N395" s="372">
        <f>-('&lt;参考&gt;●総コスト算出WS'!L137+'&lt;参考&gt;●総コスト算出WS'!L150)</f>
        <v>0</v>
      </c>
      <c r="O395" s="372">
        <f>-('&lt;参考&gt;●総コスト算出WS'!M137+'&lt;参考&gt;●総コスト算出WS'!M150)</f>
        <v>0</v>
      </c>
      <c r="P395" s="372">
        <f>-('&lt;参考&gt;●総コスト算出WS'!N137+'&lt;参考&gt;●総コスト算出WS'!N150)</f>
        <v>0</v>
      </c>
      <c r="Q395" s="372">
        <f>-('&lt;参考&gt;●総コスト算出WS'!O137+'&lt;参考&gt;●総コスト算出WS'!O150)</f>
        <v>0</v>
      </c>
    </row>
    <row r="396" spans="3:19" hidden="1">
      <c r="C396" s="82"/>
      <c r="F396" s="372" t="s">
        <v>320</v>
      </c>
      <c r="G396" s="372">
        <f t="shared" ref="G396:O396" ca="1" si="33">SUM(G391:G395)</f>
        <v>0</v>
      </c>
      <c r="H396" s="372">
        <f t="shared" ca="1" si="33"/>
        <v>0</v>
      </c>
      <c r="I396" s="372">
        <f t="shared" ca="1" si="33"/>
        <v>695361.00000000093</v>
      </c>
      <c r="J396" s="372">
        <f t="shared" ca="1" si="33"/>
        <v>897240</v>
      </c>
      <c r="K396" s="372">
        <f t="shared" ca="1" si="33"/>
        <v>1121550</v>
      </c>
      <c r="L396" s="372">
        <f t="shared" ca="1" si="33"/>
        <v>1345860</v>
      </c>
      <c r="M396" s="372">
        <f t="shared" ca="1" si="33"/>
        <v>1345860</v>
      </c>
      <c r="N396" s="372">
        <f t="shared" ca="1" si="33"/>
        <v>1345860</v>
      </c>
      <c r="O396" s="372">
        <f t="shared" ca="1" si="33"/>
        <v>1345860</v>
      </c>
      <c r="P396" s="372">
        <f ca="1">SUM(P391:P392)</f>
        <v>1345860</v>
      </c>
      <c r="Q396" s="372">
        <f ca="1">SUM(Q391:Q395)</f>
        <v>1345860</v>
      </c>
    </row>
    <row r="397" spans="3:19">
      <c r="C397" s="82"/>
      <c r="F397" s="372" t="s">
        <v>214</v>
      </c>
      <c r="G397" s="372">
        <f ca="1">G396</f>
        <v>0</v>
      </c>
      <c r="H397" s="372">
        <f t="shared" ref="H397:Q397" ca="1" si="34">G397+H396</f>
        <v>0</v>
      </c>
      <c r="I397" s="372">
        <f t="shared" ca="1" si="34"/>
        <v>695361.00000000093</v>
      </c>
      <c r="J397" s="372">
        <f t="shared" ca="1" si="34"/>
        <v>1592601.0000000009</v>
      </c>
      <c r="K397" s="372">
        <f t="shared" ca="1" si="34"/>
        <v>2714151.0000000009</v>
      </c>
      <c r="L397" s="372">
        <f t="shared" ca="1" si="34"/>
        <v>4060011.0000000009</v>
      </c>
      <c r="M397" s="372">
        <f t="shared" ca="1" si="34"/>
        <v>5405871.0000000009</v>
      </c>
      <c r="N397" s="372">
        <f t="shared" ca="1" si="34"/>
        <v>6751731.0000000009</v>
      </c>
      <c r="O397" s="372">
        <f t="shared" ca="1" si="34"/>
        <v>8097591.0000000009</v>
      </c>
      <c r="P397" s="372">
        <f t="shared" ca="1" si="34"/>
        <v>9443451</v>
      </c>
      <c r="Q397" s="372">
        <f t="shared" ca="1" si="34"/>
        <v>10789311</v>
      </c>
    </row>
    <row r="398" spans="3:19" ht="13.5" customHeight="1">
      <c r="F398" s="372" t="s">
        <v>431</v>
      </c>
      <c r="G398" s="439">
        <f>G380</f>
        <v>0</v>
      </c>
      <c r="H398" s="439">
        <f t="shared" ref="H398:Q398" si="35">H380</f>
        <v>0</v>
      </c>
      <c r="I398" s="439">
        <f t="shared" si="35"/>
        <v>0.31</v>
      </c>
      <c r="J398" s="439">
        <f t="shared" si="35"/>
        <v>0.4</v>
      </c>
      <c r="K398" s="439">
        <f t="shared" si="35"/>
        <v>0.5</v>
      </c>
      <c r="L398" s="439">
        <f t="shared" si="35"/>
        <v>0.6</v>
      </c>
      <c r="M398" s="439">
        <f t="shared" si="35"/>
        <v>0.6</v>
      </c>
      <c r="N398" s="439">
        <f t="shared" si="35"/>
        <v>0.6</v>
      </c>
      <c r="O398" s="439">
        <f t="shared" si="35"/>
        <v>0.6</v>
      </c>
      <c r="P398" s="439">
        <f t="shared" si="35"/>
        <v>0.6</v>
      </c>
      <c r="Q398" s="439">
        <f t="shared" si="35"/>
        <v>0.6</v>
      </c>
      <c r="S398" s="364"/>
    </row>
    <row r="399" spans="3:19" ht="13.5" customHeight="1">
      <c r="F399" s="372" t="s">
        <v>432</v>
      </c>
      <c r="G399" s="439">
        <f>G381</f>
        <v>0</v>
      </c>
      <c r="H399" s="439">
        <f t="shared" ref="H399:Q399" si="36">H381</f>
        <v>0</v>
      </c>
      <c r="I399" s="439">
        <f t="shared" si="36"/>
        <v>0</v>
      </c>
      <c r="J399" s="439">
        <f t="shared" si="36"/>
        <v>0</v>
      </c>
      <c r="K399" s="439">
        <f t="shared" si="36"/>
        <v>0</v>
      </c>
      <c r="L399" s="439">
        <f t="shared" si="36"/>
        <v>0</v>
      </c>
      <c r="M399" s="439">
        <f t="shared" si="36"/>
        <v>0</v>
      </c>
      <c r="N399" s="439">
        <f t="shared" si="36"/>
        <v>0</v>
      </c>
      <c r="O399" s="439">
        <f t="shared" si="36"/>
        <v>0</v>
      </c>
      <c r="P399" s="439">
        <f t="shared" si="36"/>
        <v>0</v>
      </c>
      <c r="Q399" s="439">
        <f t="shared" si="36"/>
        <v>0</v>
      </c>
      <c r="S399" s="364"/>
    </row>
    <row r="400" spans="3:19">
      <c r="C400" s="82"/>
    </row>
    <row r="401" spans="3:3">
      <c r="C401" s="82"/>
    </row>
    <row r="402" spans="3:3">
      <c r="C402" s="82"/>
    </row>
    <row r="403" spans="3:3">
      <c r="C403" s="82"/>
    </row>
    <row r="404" spans="3:3">
      <c r="C404" s="82"/>
    </row>
    <row r="405" spans="3:3">
      <c r="C405" s="82"/>
    </row>
    <row r="406" spans="3:3">
      <c r="C406" s="82"/>
    </row>
    <row r="407" spans="3:3">
      <c r="C407" s="82"/>
    </row>
    <row r="408" spans="3:3">
      <c r="C408" s="82"/>
    </row>
    <row r="409" spans="3:3">
      <c r="C409" s="82"/>
    </row>
    <row r="410" spans="3:3">
      <c r="C410" s="82"/>
    </row>
    <row r="411" spans="3:3">
      <c r="C411" s="82"/>
    </row>
    <row r="412" spans="3:3">
      <c r="C412" s="82"/>
    </row>
    <row r="413" spans="3:3">
      <c r="C413" s="82"/>
    </row>
    <row r="414" spans="3:3">
      <c r="C414" s="82"/>
    </row>
    <row r="415" spans="3:3">
      <c r="C415" s="82"/>
    </row>
    <row r="416" spans="3:3">
      <c r="C416" s="82"/>
    </row>
    <row r="417" spans="3:3">
      <c r="C417" s="82"/>
    </row>
    <row r="418" spans="3:3">
      <c r="C418" s="82"/>
    </row>
    <row r="419" spans="3:3">
      <c r="C419" s="82"/>
    </row>
    <row r="420" spans="3:3">
      <c r="C420" s="82"/>
    </row>
    <row r="421" spans="3:3">
      <c r="C421" s="82"/>
    </row>
    <row r="422" spans="3:3">
      <c r="C422" s="82"/>
    </row>
    <row r="423" spans="3:3">
      <c r="C423" s="82"/>
    </row>
    <row r="424" spans="3:3">
      <c r="C424" s="82"/>
    </row>
    <row r="425" spans="3:3">
      <c r="C425" s="82"/>
    </row>
    <row r="426" spans="3:3">
      <c r="C426" s="82"/>
    </row>
    <row r="427" spans="3:3">
      <c r="C427" s="82"/>
    </row>
    <row r="428" spans="3:3">
      <c r="C428" s="82"/>
    </row>
    <row r="429" spans="3:3">
      <c r="C429" s="82"/>
    </row>
    <row r="430" spans="3:3">
      <c r="C430" s="82"/>
    </row>
    <row r="431" spans="3:3">
      <c r="C431" s="82"/>
    </row>
    <row r="432" spans="3:3">
      <c r="C432" s="82"/>
    </row>
    <row r="433" spans="3:3">
      <c r="C433" s="82"/>
    </row>
    <row r="434" spans="3:3">
      <c r="C434" s="82"/>
    </row>
    <row r="435" spans="3:3">
      <c r="C435" s="82"/>
    </row>
    <row r="436" spans="3:3">
      <c r="C436" s="82"/>
    </row>
    <row r="437" spans="3:3">
      <c r="C437" s="82"/>
    </row>
    <row r="438" spans="3:3">
      <c r="C438" s="82"/>
    </row>
    <row r="439" spans="3:3">
      <c r="C439" s="82"/>
    </row>
  </sheetData>
  <mergeCells count="150">
    <mergeCell ref="E217:F217"/>
    <mergeCell ref="B194:C194"/>
    <mergeCell ref="B195:C195"/>
    <mergeCell ref="E215:F215"/>
    <mergeCell ref="E216:F216"/>
    <mergeCell ref="D210:F210"/>
    <mergeCell ref="C205:D205"/>
    <mergeCell ref="C206:D206"/>
    <mergeCell ref="N284:Q284"/>
    <mergeCell ref="N283:Q283"/>
    <mergeCell ref="L283:M283"/>
    <mergeCell ref="L284:M284"/>
    <mergeCell ref="B278:C278"/>
    <mergeCell ref="E218:F218"/>
    <mergeCell ref="N281:Q281"/>
    <mergeCell ref="I281:I282"/>
    <mergeCell ref="E133:F133"/>
    <mergeCell ref="E134:F134"/>
    <mergeCell ref="E135:F135"/>
    <mergeCell ref="E205:F205"/>
    <mergeCell ref="L200:M200"/>
    <mergeCell ref="I195:J195"/>
    <mergeCell ref="L198:M198"/>
    <mergeCell ref="G194:H194"/>
    <mergeCell ref="I194:J194"/>
    <mergeCell ref="G195:H195"/>
    <mergeCell ref="N199:Q199"/>
    <mergeCell ref="E297:F297"/>
    <mergeCell ref="E301:F301"/>
    <mergeCell ref="E373:F373"/>
    <mergeCell ref="B364:C364"/>
    <mergeCell ref="E298:F298"/>
    <mergeCell ref="C373:D373"/>
    <mergeCell ref="B363:C363"/>
    <mergeCell ref="E299:F299"/>
    <mergeCell ref="E300:F300"/>
    <mergeCell ref="L124:M124"/>
    <mergeCell ref="N287:Q287"/>
    <mergeCell ref="N122:Q122"/>
    <mergeCell ref="N204:Q204"/>
    <mergeCell ref="I362:J362"/>
    <mergeCell ref="G363:H363"/>
    <mergeCell ref="I363:J363"/>
    <mergeCell ref="L288:M288"/>
    <mergeCell ref="L289:M289"/>
    <mergeCell ref="L290:M290"/>
    <mergeCell ref="N289:Q289"/>
    <mergeCell ref="N288:Q288"/>
    <mergeCell ref="L117:M117"/>
    <mergeCell ref="L118:M118"/>
    <mergeCell ref="N121:Q121"/>
    <mergeCell ref="L368:M368"/>
    <mergeCell ref="L121:M121"/>
    <mergeCell ref="L122:M122"/>
    <mergeCell ref="L123:M123"/>
    <mergeCell ref="L204:M204"/>
    <mergeCell ref="L374:M374"/>
    <mergeCell ref="L375:M375"/>
    <mergeCell ref="L372:M372"/>
    <mergeCell ref="L373:M373"/>
    <mergeCell ref="N118:Q118"/>
    <mergeCell ref="N117:Q117"/>
    <mergeCell ref="L367:M367"/>
    <mergeCell ref="L281:M281"/>
    <mergeCell ref="L282:M282"/>
    <mergeCell ref="N290:Q290"/>
    <mergeCell ref="L366:M366"/>
    <mergeCell ref="L287:M287"/>
    <mergeCell ref="N123:Q123"/>
    <mergeCell ref="N207:Q207"/>
    <mergeCell ref="N206:Q206"/>
    <mergeCell ref="N205:Q205"/>
    <mergeCell ref="L206:M206"/>
    <mergeCell ref="L207:M207"/>
    <mergeCell ref="N124:Q124"/>
    <mergeCell ref="L201:M201"/>
    <mergeCell ref="N198:Q198"/>
    <mergeCell ref="D293:F293"/>
    <mergeCell ref="D294:F294"/>
    <mergeCell ref="G278:H278"/>
    <mergeCell ref="I278:J278"/>
    <mergeCell ref="L205:M205"/>
    <mergeCell ref="I277:J277"/>
    <mergeCell ref="G277:H277"/>
    <mergeCell ref="N282:Q282"/>
    <mergeCell ref="N201:Q201"/>
    <mergeCell ref="L199:M199"/>
    <mergeCell ref="I198:I199"/>
    <mergeCell ref="H198:H199"/>
    <mergeCell ref="G198:G199"/>
    <mergeCell ref="E385:F385"/>
    <mergeCell ref="E386:F386"/>
    <mergeCell ref="G281:G282"/>
    <mergeCell ref="E383:F383"/>
    <mergeCell ref="E288:F288"/>
    <mergeCell ref="E384:F384"/>
    <mergeCell ref="G362:H362"/>
    <mergeCell ref="H281:H282"/>
    <mergeCell ref="G366:G367"/>
    <mergeCell ref="H366:H367"/>
    <mergeCell ref="B277:C277"/>
    <mergeCell ref="B279:C279"/>
    <mergeCell ref="B362:C362"/>
    <mergeCell ref="E382:F382"/>
    <mergeCell ref="D378:F378"/>
    <mergeCell ref="D379:F379"/>
    <mergeCell ref="D380:F380"/>
    <mergeCell ref="D381:F381"/>
    <mergeCell ref="D295:F295"/>
    <mergeCell ref="D296:F296"/>
    <mergeCell ref="B111:C111"/>
    <mergeCell ref="B112:C112"/>
    <mergeCell ref="D129:F129"/>
    <mergeCell ref="C288:D288"/>
    <mergeCell ref="D130:F130"/>
    <mergeCell ref="D211:F211"/>
    <mergeCell ref="D212:F212"/>
    <mergeCell ref="D213:F213"/>
    <mergeCell ref="E206:F206"/>
    <mergeCell ref="E214:F214"/>
    <mergeCell ref="L116:M116"/>
    <mergeCell ref="N116:Q116"/>
    <mergeCell ref="D5:F5"/>
    <mergeCell ref="D6:F6"/>
    <mergeCell ref="B113:C113"/>
    <mergeCell ref="B196:C196"/>
    <mergeCell ref="D128:F128"/>
    <mergeCell ref="D127:F127"/>
    <mergeCell ref="E132:F132"/>
    <mergeCell ref="E131:F131"/>
    <mergeCell ref="N200:Q200"/>
    <mergeCell ref="G111:H111"/>
    <mergeCell ref="I111:J111"/>
    <mergeCell ref="G112:H112"/>
    <mergeCell ref="I112:J112"/>
    <mergeCell ref="N115:Q115"/>
    <mergeCell ref="G115:G116"/>
    <mergeCell ref="I115:I116"/>
    <mergeCell ref="H115:H116"/>
    <mergeCell ref="L115:M115"/>
    <mergeCell ref="I366:I367"/>
    <mergeCell ref="N375:Q375"/>
    <mergeCell ref="N374:Q374"/>
    <mergeCell ref="N373:Q373"/>
    <mergeCell ref="N372:Q372"/>
    <mergeCell ref="N369:Q369"/>
    <mergeCell ref="N368:Q368"/>
    <mergeCell ref="N367:Q367"/>
    <mergeCell ref="N366:Q366"/>
    <mergeCell ref="L369:M369"/>
  </mergeCells>
  <phoneticPr fontId="2"/>
  <pageMargins left="0.59055118110236227" right="0.59055118110236227" top="0.78740157480314965" bottom="0.78740157480314965" header="0.51181102362204722" footer="0.51181102362204722"/>
  <pageSetup paperSize="9" scale="41" orientation="portrait" r:id="rId1"/>
  <headerFooter alignWithMargins="0"/>
  <rowBreaks count="4" manualBreakCount="4">
    <brk id="106" max="16383" man="1"/>
    <brk id="189" min="1" max="18" man="1"/>
    <brk id="272" min="1" max="18" man="1"/>
    <brk id="357" min="1" max="18" man="1"/>
  </rowBreaks>
  <colBreaks count="1" manualBreakCount="1">
    <brk id="19" max="1048575" man="1"/>
  </colBreaks>
  <drawing r:id="rId2"/>
  <legacyDrawing r:id="rId3"/>
  <controls>
    <mc:AlternateContent xmlns:mc="http://schemas.openxmlformats.org/markup-compatibility/2006">
      <mc:Choice Requires="x14">
        <control shapeId="178193" r:id="rId4" name="setMainEDIRate">
          <controlPr defaultSize="0" autoLine="0" r:id="rId5">
            <anchor moveWithCells="1">
              <from>
                <xdr:col>7</xdr:col>
                <xdr:colOff>38100</xdr:colOff>
                <xdr:row>9</xdr:row>
                <xdr:rowOff>47625</xdr:rowOff>
              </from>
              <to>
                <xdr:col>21</xdr:col>
                <xdr:colOff>133350</xdr:colOff>
                <xdr:row>19</xdr:row>
                <xdr:rowOff>152400</xdr:rowOff>
              </to>
            </anchor>
          </controlPr>
        </control>
      </mc:Choice>
      <mc:Fallback>
        <control shapeId="178193" r:id="rId4" name="setMainEDIRate"/>
      </mc:Fallback>
    </mc:AlternateContent>
    <mc:AlternateContent xmlns:mc="http://schemas.openxmlformats.org/markup-compatibility/2006">
      <mc:Choice Requires="x14">
        <control shapeId="178192" r:id="rId6" name="copySimulationRateToMainRateBtn">
          <controlPr defaultSize="0" autoLine="0" r:id="rId7">
            <anchor moveWithCells="1">
              <from>
                <xdr:col>2</xdr:col>
                <xdr:colOff>933450</xdr:colOff>
                <xdr:row>9</xdr:row>
                <xdr:rowOff>47625</xdr:rowOff>
              </from>
              <to>
                <xdr:col>5</xdr:col>
                <xdr:colOff>952500</xdr:colOff>
                <xdr:row>11</xdr:row>
                <xdr:rowOff>133350</xdr:rowOff>
              </to>
            </anchor>
          </controlPr>
        </control>
      </mc:Choice>
      <mc:Fallback>
        <control shapeId="178192" r:id="rId6" name="copySimulationRateToMainRateBtn"/>
      </mc:Fallback>
    </mc:AlternateContent>
  </control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AG84"/>
  <sheetViews>
    <sheetView showGridLines="0" topLeftCell="A16" zoomScale="75" zoomScaleNormal="100" workbookViewId="0">
      <selection activeCell="G5" sqref="G5"/>
    </sheetView>
  </sheetViews>
  <sheetFormatPr defaultRowHeight="13.5"/>
  <cols>
    <col min="1" max="11" width="3.625" style="21" customWidth="1"/>
    <col min="12" max="13" width="4.625" style="21" customWidth="1"/>
    <col min="14" max="33" width="3.625" style="21" customWidth="1"/>
    <col min="34" max="16384" width="9" style="21"/>
  </cols>
  <sheetData>
    <row r="1" spans="1:29" ht="21">
      <c r="A1" s="30" t="s">
        <v>96</v>
      </c>
    </row>
    <row r="2" spans="1:29" ht="7.5" customHeight="1"/>
    <row r="3" spans="1:29" ht="21">
      <c r="A3" s="381" t="s">
        <v>63</v>
      </c>
    </row>
    <row r="4" spans="1:29" ht="7.5" customHeight="1"/>
    <row r="5" spans="1:29" ht="17.100000000000001" customHeight="1" thickBot="1">
      <c r="B5" s="21" t="s">
        <v>64</v>
      </c>
    </row>
    <row r="6" spans="1:29" ht="17.100000000000001" customHeight="1" thickTop="1" thickBot="1">
      <c r="B6" s="382" t="s">
        <v>65</v>
      </c>
      <c r="C6" s="108"/>
      <c r="D6" s="108"/>
      <c r="E6" s="108"/>
      <c r="F6" s="108"/>
      <c r="G6" s="108"/>
      <c r="H6" s="108"/>
      <c r="I6" s="108"/>
      <c r="J6" s="108"/>
      <c r="K6" s="414"/>
      <c r="L6" s="1595">
        <f>業務書類量調査!$U$19</f>
        <v>2400</v>
      </c>
      <c r="M6" s="1568"/>
      <c r="N6" s="107" t="s">
        <v>581</v>
      </c>
      <c r="O6" s="108"/>
      <c r="P6" s="415" t="s">
        <v>379</v>
      </c>
      <c r="Q6" s="108"/>
      <c r="R6" s="108"/>
      <c r="S6" s="108"/>
      <c r="T6" s="108"/>
      <c r="U6" s="108"/>
      <c r="V6" s="108"/>
      <c r="W6" s="1559">
        <f>業務書類量調査!$Y$12</f>
        <v>0</v>
      </c>
      <c r="X6" s="1560"/>
      <c r="Y6" s="108"/>
      <c r="Z6" s="108"/>
      <c r="AA6" s="108"/>
      <c r="AB6" s="108"/>
      <c r="AC6" s="109"/>
    </row>
    <row r="7" spans="1:29" ht="17.100000000000001" customHeight="1" thickTop="1" thickBot="1">
      <c r="B7" s="383" t="s">
        <v>66</v>
      </c>
      <c r="K7" s="384"/>
      <c r="L7" s="856">
        <f>業務書類量調査!$U$20</f>
        <v>0</v>
      </c>
      <c r="M7" s="857"/>
      <c r="N7" s="22" t="s">
        <v>581</v>
      </c>
      <c r="P7" s="100" t="s">
        <v>382</v>
      </c>
      <c r="AC7" s="111"/>
    </row>
    <row r="8" spans="1:29" ht="17.100000000000001" customHeight="1" thickTop="1" thickBot="1">
      <c r="B8" s="110" t="s">
        <v>67</v>
      </c>
      <c r="K8" s="35" t="s">
        <v>527</v>
      </c>
      <c r="L8" s="1569">
        <f>業務書類量調査!$U$21</f>
        <v>0</v>
      </c>
      <c r="M8" s="1570"/>
      <c r="N8" s="22"/>
      <c r="AC8" s="111"/>
    </row>
    <row r="9" spans="1:29" ht="17.100000000000001" customHeight="1" thickTop="1" thickBot="1">
      <c r="B9" s="385"/>
      <c r="C9" s="113"/>
      <c r="D9" s="113"/>
      <c r="E9" s="113"/>
      <c r="F9" s="113"/>
      <c r="G9" s="113"/>
      <c r="H9" s="113"/>
      <c r="I9" s="113"/>
      <c r="J9" s="113"/>
      <c r="K9" s="386" t="s">
        <v>588</v>
      </c>
      <c r="L9" s="1596">
        <f>業務書類量調査!$U$22</f>
        <v>0</v>
      </c>
      <c r="M9" s="1597"/>
      <c r="N9" s="112"/>
      <c r="O9" s="113"/>
      <c r="P9" s="113"/>
      <c r="Q9" s="113"/>
      <c r="R9" s="113"/>
      <c r="S9" s="113"/>
      <c r="T9" s="113"/>
      <c r="U9" s="113"/>
      <c r="V9" s="113"/>
      <c r="W9" s="113"/>
      <c r="X9" s="113"/>
      <c r="Y9" s="113"/>
      <c r="Z9" s="113"/>
      <c r="AA9" s="113"/>
      <c r="AB9" s="113"/>
      <c r="AC9" s="114"/>
    </row>
    <row r="10" spans="1:29" ht="7.5" customHeight="1"/>
    <row r="11" spans="1:29" ht="21">
      <c r="A11" s="381" t="s">
        <v>68</v>
      </c>
      <c r="B11" s="162"/>
      <c r="C11" s="162"/>
      <c r="D11" s="162"/>
      <c r="E11" s="162"/>
      <c r="F11" s="162"/>
      <c r="G11" s="162"/>
      <c r="H11" s="162"/>
      <c r="I11" s="162"/>
      <c r="J11" s="162"/>
      <c r="K11" s="162"/>
      <c r="L11" s="162"/>
      <c r="M11" s="162"/>
      <c r="N11" s="162"/>
      <c r="O11" s="162"/>
      <c r="P11" s="162"/>
      <c r="Q11" s="162"/>
      <c r="R11" s="162"/>
      <c r="S11" s="162"/>
      <c r="T11" s="162"/>
      <c r="U11" s="162"/>
      <c r="V11" s="162"/>
      <c r="W11" s="162"/>
      <c r="X11" s="162"/>
      <c r="Y11" s="162"/>
      <c r="Z11" s="162"/>
      <c r="AA11" s="162"/>
      <c r="AB11" s="162"/>
      <c r="AC11" s="162"/>
    </row>
    <row r="12" spans="1:29" ht="7.5" customHeight="1"/>
    <row r="13" spans="1:29" s="162" customFormat="1" ht="17.100000000000001" customHeight="1" thickBot="1">
      <c r="A13" s="21"/>
      <c r="B13" s="21" t="s">
        <v>69</v>
      </c>
      <c r="C13" s="21"/>
      <c r="D13" s="21"/>
      <c r="E13" s="21"/>
      <c r="F13" s="21"/>
      <c r="G13" s="21"/>
      <c r="H13" s="21"/>
      <c r="I13" s="21"/>
      <c r="J13" s="21"/>
      <c r="K13" s="21"/>
      <c r="L13" s="21"/>
      <c r="M13" s="21"/>
      <c r="N13" s="21"/>
      <c r="O13" s="21"/>
      <c r="P13" s="21"/>
      <c r="Q13" s="21"/>
      <c r="R13" s="21"/>
      <c r="S13" s="21"/>
      <c r="T13" s="21"/>
      <c r="U13" s="21"/>
      <c r="V13" s="21" t="s">
        <v>70</v>
      </c>
      <c r="W13" s="21"/>
      <c r="X13" s="21"/>
      <c r="Y13" s="21"/>
      <c r="Z13" s="21"/>
      <c r="AA13" s="21"/>
      <c r="AB13" s="21"/>
      <c r="AC13" s="21"/>
    </row>
    <row r="14" spans="1:29" ht="17.100000000000001" customHeight="1">
      <c r="B14" s="387" t="s">
        <v>719</v>
      </c>
      <c r="C14" s="107"/>
      <c r="D14" s="107"/>
      <c r="E14" s="107"/>
      <c r="F14" s="107"/>
      <c r="G14" s="108"/>
      <c r="H14" s="108"/>
      <c r="I14" s="108"/>
      <c r="J14" s="108"/>
      <c r="K14" s="108"/>
      <c r="L14" s="108"/>
      <c r="M14" s="108"/>
      <c r="N14" s="108"/>
      <c r="O14" s="108"/>
      <c r="P14" s="108"/>
      <c r="Q14" s="108"/>
      <c r="R14" s="109"/>
      <c r="V14" s="388"/>
      <c r="W14" s="108"/>
      <c r="X14" s="108"/>
      <c r="Y14" s="108"/>
      <c r="Z14" s="108"/>
      <c r="AA14" s="108"/>
      <c r="AB14" s="108"/>
      <c r="AC14" s="109"/>
    </row>
    <row r="15" spans="1:29" ht="17.100000000000001" customHeight="1" thickBot="1">
      <c r="B15" s="389" t="s">
        <v>73</v>
      </c>
      <c r="R15" s="396"/>
      <c r="S15" s="22"/>
      <c r="T15" s="22"/>
      <c r="V15" s="389"/>
      <c r="AC15" s="111"/>
    </row>
    <row r="16" spans="1:29" s="162" customFormat="1" ht="17.100000000000001" customHeight="1" thickTop="1" thickBot="1">
      <c r="A16" s="21"/>
      <c r="B16" s="389"/>
      <c r="C16" s="169" t="s">
        <v>74</v>
      </c>
      <c r="D16" s="21"/>
      <c r="E16" s="21"/>
      <c r="F16" s="21"/>
      <c r="G16" s="21"/>
      <c r="H16" s="21"/>
      <c r="I16" s="21"/>
      <c r="J16" s="21"/>
      <c r="K16" s="171"/>
      <c r="L16" s="1559">
        <f>現業務調査!$S11</f>
        <v>0</v>
      </c>
      <c r="M16" s="1560"/>
      <c r="N16" s="22" t="s">
        <v>523</v>
      </c>
      <c r="O16" s="21"/>
      <c r="P16" s="1561">
        <f>現業務調査!$Y11</f>
        <v>0</v>
      </c>
      <c r="Q16" s="1562"/>
      <c r="R16" s="396"/>
      <c r="S16" s="22"/>
      <c r="T16" s="22"/>
      <c r="U16" s="21"/>
      <c r="V16" s="389"/>
      <c r="W16" s="21"/>
      <c r="X16" s="21"/>
      <c r="Y16" s="21"/>
      <c r="Z16" s="21"/>
      <c r="AA16" s="21"/>
      <c r="AB16" s="21"/>
      <c r="AC16" s="111"/>
    </row>
    <row r="17" spans="1:29" ht="17.100000000000001" customHeight="1" thickTop="1" thickBot="1">
      <c r="B17" s="389"/>
      <c r="C17" s="169" t="s">
        <v>75</v>
      </c>
      <c r="K17" s="171"/>
      <c r="L17" s="1559">
        <f>現業務調査!$S12</f>
        <v>0</v>
      </c>
      <c r="M17" s="1560"/>
      <c r="N17" s="22" t="s">
        <v>523</v>
      </c>
      <c r="P17" s="1561">
        <f>現業務調査!$Y12</f>
        <v>0</v>
      </c>
      <c r="Q17" s="1562"/>
      <c r="R17" s="396"/>
      <c r="S17" s="22"/>
      <c r="T17" s="22"/>
      <c r="V17" s="389"/>
      <c r="AC17" s="111"/>
    </row>
    <row r="18" spans="1:29" ht="17.100000000000001" customHeight="1" thickTop="1" thickBot="1">
      <c r="B18" s="389"/>
      <c r="C18" s="169" t="s">
        <v>76</v>
      </c>
      <c r="K18" s="171"/>
      <c r="L18" s="1559">
        <f>現業務調査!$S13</f>
        <v>0</v>
      </c>
      <c r="M18" s="1560"/>
      <c r="N18" s="22" t="s">
        <v>523</v>
      </c>
      <c r="P18" s="1561">
        <f>現業務調査!$Y13</f>
        <v>1</v>
      </c>
      <c r="Q18" s="1562"/>
      <c r="R18" s="396"/>
      <c r="S18" s="22"/>
      <c r="T18" s="22"/>
      <c r="U18" s="22"/>
      <c r="V18" s="389"/>
      <c r="AC18" s="111"/>
    </row>
    <row r="19" spans="1:29" ht="17.100000000000001" customHeight="1" thickTop="1" thickBot="1">
      <c r="B19" s="389"/>
      <c r="K19" s="35" t="s">
        <v>579</v>
      </c>
      <c r="L19" s="1563">
        <f>現業務調査!$S$14</f>
        <v>0</v>
      </c>
      <c r="M19" s="1564"/>
      <c r="N19" s="22" t="s">
        <v>523</v>
      </c>
      <c r="R19" s="111"/>
      <c r="V19" s="389"/>
      <c r="W19" s="1565">
        <f>IF(ISBLANK(導入後効果予測!$AD$9),"",導入後効果予測!$AD$9)</f>
        <v>0</v>
      </c>
      <c r="X19" s="1566"/>
      <c r="Y19" s="169" t="s">
        <v>681</v>
      </c>
      <c r="AC19" s="111"/>
    </row>
    <row r="20" spans="1:29" ht="17.100000000000001" customHeight="1" thickTop="1" thickBot="1">
      <c r="B20" s="389" t="s">
        <v>524</v>
      </c>
      <c r="R20" s="111"/>
      <c r="V20" s="389"/>
      <c r="AC20" s="111"/>
    </row>
    <row r="21" spans="1:29" ht="17.100000000000001" customHeight="1" thickTop="1" thickBot="1">
      <c r="B21" s="389"/>
      <c r="C21" s="22" t="s">
        <v>91</v>
      </c>
      <c r="L21" s="1569">
        <f>現業務調査!$Y18</f>
        <v>0</v>
      </c>
      <c r="M21" s="1570"/>
      <c r="R21" s="111"/>
      <c r="V21" s="389"/>
      <c r="AC21" s="111"/>
    </row>
    <row r="22" spans="1:29" ht="16.5" customHeight="1" thickTop="1" thickBot="1">
      <c r="B22" s="389"/>
      <c r="C22" s="22" t="s">
        <v>562</v>
      </c>
      <c r="L22" s="1569">
        <f>現業務調査!$Y19</f>
        <v>0</v>
      </c>
      <c r="M22" s="1570"/>
      <c r="R22" s="111"/>
      <c r="V22" s="389"/>
      <c r="AC22" s="111"/>
    </row>
    <row r="23" spans="1:29" ht="17.100000000000001" customHeight="1" thickTop="1" thickBot="1">
      <c r="B23" s="389"/>
      <c r="C23" s="22" t="s">
        <v>563</v>
      </c>
      <c r="L23" s="1569">
        <f>現業務調査!$Y20</f>
        <v>0</v>
      </c>
      <c r="M23" s="1570"/>
      <c r="R23" s="111"/>
      <c r="V23" s="389"/>
      <c r="AC23" s="111"/>
    </row>
    <row r="24" spans="1:29" ht="17.100000000000001" customHeight="1" thickTop="1" thickBot="1">
      <c r="B24" s="389"/>
      <c r="C24" s="22" t="s">
        <v>529</v>
      </c>
      <c r="L24" s="1569">
        <f>現業務調査!$Y21</f>
        <v>0</v>
      </c>
      <c r="M24" s="1570"/>
      <c r="R24" s="111"/>
      <c r="V24" s="389"/>
      <c r="AC24" s="111"/>
    </row>
    <row r="25" spans="1:29" ht="17.100000000000001" customHeight="1" thickTop="1" thickBot="1">
      <c r="B25" s="389"/>
      <c r="C25" s="22" t="s">
        <v>387</v>
      </c>
      <c r="L25" s="1569">
        <f>現業務調査!$Y22</f>
        <v>0</v>
      </c>
      <c r="M25" s="1570"/>
      <c r="R25" s="111"/>
      <c r="V25" s="389"/>
      <c r="AC25" s="111"/>
    </row>
    <row r="26" spans="1:29" ht="17.100000000000001" customHeight="1" thickTop="1" thickBot="1">
      <c r="B26" s="389"/>
      <c r="C26" s="22" t="s">
        <v>388</v>
      </c>
      <c r="L26" s="1569">
        <f>現業務調査!$Y23</f>
        <v>0</v>
      </c>
      <c r="M26" s="1570"/>
      <c r="R26" s="111"/>
      <c r="V26" s="389"/>
      <c r="AC26" s="111"/>
    </row>
    <row r="27" spans="1:29" ht="17.100000000000001" customHeight="1" thickTop="1" thickBot="1">
      <c r="B27" s="389" t="s">
        <v>97</v>
      </c>
      <c r="C27" s="22"/>
      <c r="L27" s="1559">
        <f>現業務調査!$Y$43</f>
        <v>3</v>
      </c>
      <c r="M27" s="1560"/>
      <c r="N27" s="21" t="s">
        <v>526</v>
      </c>
      <c r="R27" s="111"/>
      <c r="V27" s="389"/>
      <c r="AC27" s="111"/>
    </row>
    <row r="28" spans="1:29" ht="17.100000000000001" customHeight="1" thickTop="1" thickBot="1">
      <c r="B28" s="385" t="s">
        <v>104</v>
      </c>
      <c r="C28" s="112"/>
      <c r="D28" s="113"/>
      <c r="E28" s="113"/>
      <c r="F28" s="113"/>
      <c r="G28" s="113"/>
      <c r="H28" s="113"/>
      <c r="I28" s="113"/>
      <c r="J28" s="113"/>
      <c r="K28" s="113"/>
      <c r="L28" s="1575">
        <f>現業務調査!$Y$45</f>
        <v>0</v>
      </c>
      <c r="M28" s="1576"/>
      <c r="N28" s="113" t="s">
        <v>523</v>
      </c>
      <c r="O28" s="113"/>
      <c r="P28" s="113"/>
      <c r="Q28" s="113"/>
      <c r="R28" s="114"/>
      <c r="V28" s="385"/>
      <c r="W28" s="1577">
        <f>IF(ISBLANK(導入後効果予測!$AD$12),"",導入後効果予測!$AD$12)</f>
        <v>0</v>
      </c>
      <c r="X28" s="1578"/>
      <c r="Y28" s="394" t="s">
        <v>681</v>
      </c>
      <c r="Z28" s="113"/>
      <c r="AA28" s="113"/>
      <c r="AB28" s="113"/>
      <c r="AC28" s="114"/>
    </row>
    <row r="29" spans="1:29" s="162" customFormat="1" ht="17.100000000000001" customHeight="1">
      <c r="A29" s="21"/>
      <c r="B29" s="395" t="s">
        <v>72</v>
      </c>
      <c r="C29" s="21"/>
      <c r="D29" s="21"/>
      <c r="E29" s="21"/>
      <c r="F29" s="21"/>
      <c r="G29" s="21"/>
      <c r="H29" s="21"/>
      <c r="I29" s="21"/>
      <c r="J29" s="21"/>
      <c r="K29" s="21"/>
      <c r="L29" s="21"/>
      <c r="M29" s="21"/>
      <c r="N29" s="21"/>
      <c r="O29" s="21"/>
      <c r="P29" s="21"/>
      <c r="Q29" s="21"/>
      <c r="R29" s="111"/>
      <c r="S29" s="21"/>
      <c r="T29" s="21"/>
      <c r="U29" s="21"/>
      <c r="V29" s="389"/>
      <c r="W29" s="21"/>
      <c r="X29" s="21"/>
      <c r="Y29" s="21"/>
      <c r="Z29" s="21"/>
      <c r="AA29" s="21"/>
      <c r="AB29" s="21"/>
      <c r="AC29" s="111"/>
    </row>
    <row r="30" spans="1:29" ht="17.100000000000001" customHeight="1" thickBot="1">
      <c r="B30" s="389" t="s">
        <v>71</v>
      </c>
      <c r="C30" s="22"/>
      <c r="D30" s="22"/>
      <c r="R30" s="111"/>
      <c r="V30" s="389"/>
      <c r="AC30" s="111"/>
    </row>
    <row r="31" spans="1:29" ht="17.100000000000001" customHeight="1" thickTop="1" thickBot="1">
      <c r="B31" s="390"/>
      <c r="C31" s="169" t="s">
        <v>98</v>
      </c>
      <c r="D31" s="169"/>
      <c r="E31" s="171"/>
      <c r="F31" s="171"/>
      <c r="G31" s="171"/>
      <c r="H31" s="171"/>
      <c r="I31" s="171"/>
      <c r="J31" s="171"/>
      <c r="K31" s="171"/>
      <c r="L31" s="1561">
        <f>現業務調査!$Y55</f>
        <v>0</v>
      </c>
      <c r="M31" s="1562"/>
      <c r="N31" s="171"/>
      <c r="O31" s="171"/>
      <c r="P31" s="171"/>
      <c r="Q31" s="171"/>
      <c r="R31" s="391"/>
      <c r="S31" s="171"/>
      <c r="T31" s="171"/>
      <c r="U31" s="162"/>
      <c r="V31" s="392"/>
      <c r="W31" s="171"/>
      <c r="X31" s="171"/>
      <c r="Y31" s="171"/>
      <c r="Z31" s="171"/>
      <c r="AA31" s="171"/>
      <c r="AB31" s="171"/>
      <c r="AC31" s="391"/>
    </row>
    <row r="32" spans="1:29" ht="17.100000000000001" customHeight="1" thickTop="1" thickBot="1">
      <c r="A32" s="162"/>
      <c r="B32" s="389"/>
      <c r="C32" s="169" t="s">
        <v>99</v>
      </c>
      <c r="L32" s="1561">
        <f>現業務調査!$Y56</f>
        <v>0</v>
      </c>
      <c r="M32" s="1562"/>
      <c r="R32" s="111"/>
      <c r="V32" s="389"/>
      <c r="AC32" s="111"/>
    </row>
    <row r="33" spans="1:30" ht="17.100000000000001" customHeight="1" thickTop="1">
      <c r="A33" s="639"/>
      <c r="B33" s="387" t="s">
        <v>225</v>
      </c>
      <c r="C33" s="108"/>
      <c r="D33" s="108"/>
      <c r="E33" s="108"/>
      <c r="F33" s="108"/>
      <c r="G33" s="108"/>
      <c r="H33" s="108"/>
      <c r="I33" s="108"/>
      <c r="J33" s="108"/>
      <c r="K33" s="108"/>
      <c r="L33" s="108"/>
      <c r="M33" s="108"/>
      <c r="N33" s="108"/>
      <c r="O33" s="108"/>
      <c r="P33" s="108"/>
      <c r="Q33" s="108"/>
      <c r="R33" s="109"/>
      <c r="S33" s="639"/>
      <c r="T33" s="639"/>
      <c r="U33" s="639"/>
      <c r="V33" s="388"/>
      <c r="W33" s="108"/>
      <c r="X33" s="108"/>
      <c r="Y33" s="108"/>
      <c r="Z33" s="108"/>
      <c r="AA33" s="108"/>
      <c r="AB33" s="108"/>
      <c r="AC33" s="109"/>
      <c r="AD33" s="639"/>
    </row>
    <row r="34" spans="1:30" ht="17.100000000000001" customHeight="1" thickBot="1">
      <c r="A34" s="639"/>
      <c r="B34" s="389" t="s">
        <v>73</v>
      </c>
      <c r="R34" s="396"/>
      <c r="S34" s="640"/>
      <c r="T34" s="640"/>
      <c r="U34" s="639"/>
      <c r="V34" s="389"/>
      <c r="AC34" s="111"/>
      <c r="AD34" s="639"/>
    </row>
    <row r="35" spans="1:30" s="162" customFormat="1" ht="17.100000000000001" customHeight="1" thickTop="1" thickBot="1">
      <c r="A35" s="639"/>
      <c r="B35" s="389"/>
      <c r="C35" s="169" t="s">
        <v>74</v>
      </c>
      <c r="D35" s="21"/>
      <c r="E35" s="21"/>
      <c r="F35" s="21"/>
      <c r="G35" s="21"/>
      <c r="H35" s="21"/>
      <c r="I35" s="21"/>
      <c r="J35" s="21"/>
      <c r="K35" s="171"/>
      <c r="L35" s="1559">
        <f>現業務調査!$S81</f>
        <v>0</v>
      </c>
      <c r="M35" s="1560"/>
      <c r="N35" s="22" t="s">
        <v>523</v>
      </c>
      <c r="O35" s="21"/>
      <c r="P35" s="1561">
        <f>現業務調査!$Y81</f>
        <v>0</v>
      </c>
      <c r="Q35" s="1562"/>
      <c r="R35" s="396"/>
      <c r="S35" s="640"/>
      <c r="T35" s="640"/>
      <c r="U35" s="639"/>
      <c r="V35" s="389"/>
      <c r="W35" s="21"/>
      <c r="X35" s="21"/>
      <c r="Y35" s="21"/>
      <c r="Z35" s="21"/>
      <c r="AA35" s="21"/>
      <c r="AB35" s="21"/>
      <c r="AC35" s="111"/>
      <c r="AD35" s="641"/>
    </row>
    <row r="36" spans="1:30" ht="17.100000000000001" customHeight="1" thickTop="1" thickBot="1">
      <c r="A36" s="639"/>
      <c r="B36" s="389"/>
      <c r="C36" s="169" t="s">
        <v>75</v>
      </c>
      <c r="K36" s="171"/>
      <c r="L36" s="1559">
        <f>現業務調査!$S82</f>
        <v>0</v>
      </c>
      <c r="M36" s="1560"/>
      <c r="N36" s="22" t="s">
        <v>523</v>
      </c>
      <c r="P36" s="1561">
        <f>現業務調査!$Y82</f>
        <v>0</v>
      </c>
      <c r="Q36" s="1562"/>
      <c r="R36" s="396"/>
      <c r="S36" s="640"/>
      <c r="T36" s="640"/>
      <c r="U36" s="639"/>
      <c r="V36" s="389"/>
      <c r="AC36" s="111"/>
      <c r="AD36" s="639"/>
    </row>
    <row r="37" spans="1:30" ht="17.100000000000001" customHeight="1" thickTop="1" thickBot="1">
      <c r="A37" s="639"/>
      <c r="B37" s="389"/>
      <c r="C37" s="169" t="s">
        <v>76</v>
      </c>
      <c r="K37" s="171"/>
      <c r="L37" s="1559">
        <f>現業務調査!$S83</f>
        <v>30</v>
      </c>
      <c r="M37" s="1560"/>
      <c r="N37" s="22" t="s">
        <v>523</v>
      </c>
      <c r="P37" s="1561">
        <f>現業務調査!$Y83</f>
        <v>1</v>
      </c>
      <c r="Q37" s="1562"/>
      <c r="R37" s="396"/>
      <c r="S37" s="640"/>
      <c r="T37" s="640"/>
      <c r="U37" s="640"/>
      <c r="V37" s="389"/>
      <c r="AC37" s="111"/>
      <c r="AD37" s="639"/>
    </row>
    <row r="38" spans="1:30" ht="17.100000000000001" customHeight="1" thickTop="1" thickBot="1">
      <c r="A38" s="639"/>
      <c r="B38" s="389"/>
      <c r="K38" s="35" t="s">
        <v>579</v>
      </c>
      <c r="L38" s="1563">
        <f>現業務調査!$S$84</f>
        <v>30</v>
      </c>
      <c r="M38" s="1564"/>
      <c r="N38" s="22" t="s">
        <v>523</v>
      </c>
      <c r="R38" s="111"/>
      <c r="S38" s="639"/>
      <c r="T38" s="639"/>
      <c r="U38" s="639"/>
      <c r="V38" s="389"/>
      <c r="W38" s="1565">
        <f>IF(ISBLANK(導入後効果予測!$AD$18),"",導入後効果予測!$AD$18)</f>
        <v>15</v>
      </c>
      <c r="X38" s="1566"/>
      <c r="Y38" s="161" t="s">
        <v>681</v>
      </c>
      <c r="AC38" s="111"/>
      <c r="AD38" s="639"/>
    </row>
    <row r="39" spans="1:30" ht="17.100000000000001" customHeight="1" thickTop="1" thickBot="1">
      <c r="A39" s="639"/>
      <c r="B39" s="389" t="s">
        <v>77</v>
      </c>
      <c r="R39" s="111"/>
      <c r="S39" s="639"/>
      <c r="T39" s="639"/>
      <c r="U39" s="639"/>
      <c r="V39" s="389"/>
      <c r="AC39" s="111"/>
      <c r="AD39" s="639"/>
    </row>
    <row r="40" spans="1:30" ht="17.100000000000001" customHeight="1" thickTop="1" thickBot="1">
      <c r="A40" s="639"/>
      <c r="B40" s="389"/>
      <c r="C40" s="22" t="s">
        <v>562</v>
      </c>
      <c r="L40" s="1569">
        <f>現業務調査!$Y88</f>
        <v>1</v>
      </c>
      <c r="M40" s="1570"/>
      <c r="R40" s="111"/>
      <c r="S40" s="639"/>
      <c r="T40" s="639"/>
      <c r="U40" s="639"/>
      <c r="V40" s="389"/>
      <c r="AC40" s="111"/>
      <c r="AD40" s="639"/>
    </row>
    <row r="41" spans="1:30" ht="17.100000000000001" customHeight="1" thickTop="1" thickBot="1">
      <c r="A41" s="639"/>
      <c r="B41" s="389"/>
      <c r="C41" s="22" t="s">
        <v>387</v>
      </c>
      <c r="L41" s="1569">
        <f>現業務調査!$Y89</f>
        <v>0</v>
      </c>
      <c r="M41" s="1570"/>
      <c r="R41" s="111"/>
      <c r="S41" s="639"/>
      <c r="T41" s="639"/>
      <c r="U41" s="639"/>
      <c r="V41" s="389"/>
      <c r="AC41" s="111"/>
      <c r="AD41" s="639"/>
    </row>
    <row r="42" spans="1:30" ht="17.100000000000001" customHeight="1" thickTop="1" thickBot="1">
      <c r="A42" s="639"/>
      <c r="B42" s="389"/>
      <c r="C42" s="22" t="s">
        <v>388</v>
      </c>
      <c r="L42" s="1569">
        <f>現業務調査!$Y90</f>
        <v>0</v>
      </c>
      <c r="M42" s="1570"/>
      <c r="R42" s="111"/>
      <c r="S42" s="639"/>
      <c r="T42" s="639"/>
      <c r="U42" s="639"/>
      <c r="V42" s="389"/>
      <c r="AC42" s="111"/>
      <c r="AD42" s="639"/>
    </row>
    <row r="43" spans="1:30" ht="17.100000000000001" customHeight="1" thickTop="1" thickBot="1">
      <c r="A43" s="639"/>
      <c r="B43" s="389" t="s">
        <v>100</v>
      </c>
      <c r="R43" s="111"/>
      <c r="S43" s="639"/>
      <c r="T43" s="639"/>
      <c r="U43" s="639"/>
      <c r="V43" s="389"/>
      <c r="AC43" s="111"/>
      <c r="AD43" s="639"/>
    </row>
    <row r="44" spans="1:30" ht="17.100000000000001" customHeight="1" thickTop="1" thickBot="1">
      <c r="A44" s="641"/>
      <c r="B44" s="389"/>
      <c r="C44" s="22" t="s">
        <v>461</v>
      </c>
      <c r="L44" s="1569">
        <f>現業務調査!$Y108</f>
        <v>1</v>
      </c>
      <c r="M44" s="1570"/>
      <c r="R44" s="111"/>
      <c r="S44" s="639"/>
      <c r="T44" s="639"/>
      <c r="U44" s="639"/>
      <c r="V44" s="389"/>
      <c r="AC44" s="111"/>
      <c r="AD44" s="639"/>
    </row>
    <row r="45" spans="1:30" ht="17.100000000000001" customHeight="1" thickTop="1" thickBot="1">
      <c r="A45" s="639"/>
      <c r="B45" s="389"/>
      <c r="C45" s="22" t="s">
        <v>462</v>
      </c>
      <c r="L45" s="1569">
        <f>現業務調査!$Y109</f>
        <v>0</v>
      </c>
      <c r="M45" s="1570"/>
      <c r="R45" s="111"/>
      <c r="S45" s="639"/>
      <c r="T45" s="639"/>
      <c r="U45" s="639"/>
      <c r="V45" s="389"/>
      <c r="AC45" s="111"/>
      <c r="AD45" s="639"/>
    </row>
    <row r="46" spans="1:30" ht="17.100000000000001" customHeight="1" thickTop="1" thickBot="1">
      <c r="A46" s="639"/>
      <c r="B46" s="389" t="s">
        <v>78</v>
      </c>
      <c r="R46" s="111"/>
      <c r="S46" s="639"/>
      <c r="T46" s="639"/>
      <c r="U46" s="639"/>
      <c r="V46" s="389"/>
      <c r="AC46" s="111"/>
      <c r="AD46" s="639"/>
    </row>
    <row r="47" spans="1:30" ht="17.100000000000001" customHeight="1" thickTop="1" thickBot="1">
      <c r="A47" s="639"/>
      <c r="B47" s="389"/>
      <c r="C47" s="22" t="s">
        <v>79</v>
      </c>
      <c r="K47" s="22"/>
      <c r="L47" s="1579">
        <f>現業務調査!$S116</f>
        <v>0</v>
      </c>
      <c r="M47" s="1580"/>
      <c r="N47" s="22" t="s">
        <v>523</v>
      </c>
      <c r="P47" s="1561">
        <f>現業務調査!$Y116</f>
        <v>0</v>
      </c>
      <c r="Q47" s="1562"/>
      <c r="R47" s="111"/>
      <c r="S47" s="639"/>
      <c r="T47" s="639"/>
      <c r="U47" s="639"/>
      <c r="V47" s="389"/>
      <c r="AC47" s="111"/>
      <c r="AD47" s="639"/>
    </row>
    <row r="48" spans="1:30" ht="17.100000000000001" customHeight="1" thickTop="1" thickBot="1">
      <c r="A48" s="639"/>
      <c r="B48" s="389"/>
      <c r="C48" s="22" t="s">
        <v>82</v>
      </c>
      <c r="K48" s="22"/>
      <c r="L48" s="1579">
        <f>現業務調査!$S117</f>
        <v>3</v>
      </c>
      <c r="M48" s="1580"/>
      <c r="N48" s="22" t="s">
        <v>523</v>
      </c>
      <c r="P48" s="1561">
        <f>現業務調査!$Y117</f>
        <v>1</v>
      </c>
      <c r="Q48" s="1562"/>
      <c r="R48" s="111"/>
      <c r="S48" s="639"/>
      <c r="T48" s="639"/>
      <c r="U48" s="639"/>
      <c r="V48" s="389"/>
      <c r="AC48" s="111"/>
      <c r="AD48" s="639"/>
    </row>
    <row r="49" spans="1:30" ht="17.100000000000001" customHeight="1" thickTop="1" thickBot="1">
      <c r="A49" s="639"/>
      <c r="B49" s="389"/>
      <c r="C49" s="22" t="s">
        <v>83</v>
      </c>
      <c r="K49" s="22"/>
      <c r="L49" s="1579">
        <f>現業務調査!$S118</f>
        <v>0</v>
      </c>
      <c r="M49" s="1580"/>
      <c r="N49" s="22" t="s">
        <v>523</v>
      </c>
      <c r="P49" s="1561">
        <f>現業務調査!$Y118</f>
        <v>0</v>
      </c>
      <c r="Q49" s="1562"/>
      <c r="R49" s="111"/>
      <c r="S49" s="639"/>
      <c r="T49" s="639"/>
      <c r="U49" s="639"/>
      <c r="V49" s="389"/>
      <c r="AC49" s="111"/>
      <c r="AD49" s="639"/>
    </row>
    <row r="50" spans="1:30" ht="17.100000000000001" customHeight="1" thickTop="1" thickBot="1">
      <c r="A50" s="639"/>
      <c r="B50" s="389"/>
      <c r="C50" s="22" t="s">
        <v>84</v>
      </c>
      <c r="K50" s="22"/>
      <c r="L50" s="1579">
        <f>現業務調査!$S119</f>
        <v>0</v>
      </c>
      <c r="M50" s="1580"/>
      <c r="N50" s="22" t="s">
        <v>523</v>
      </c>
      <c r="P50" s="1561">
        <f>現業務調査!$Y119</f>
        <v>0</v>
      </c>
      <c r="Q50" s="1562"/>
      <c r="R50" s="111"/>
      <c r="S50" s="639"/>
      <c r="T50" s="639"/>
      <c r="U50" s="639"/>
      <c r="V50" s="389"/>
      <c r="AC50" s="111"/>
      <c r="AD50" s="639"/>
    </row>
    <row r="51" spans="1:30" ht="17.100000000000001" customHeight="1" thickTop="1" thickBot="1">
      <c r="A51" s="639"/>
      <c r="B51" s="389"/>
      <c r="K51" s="35" t="s">
        <v>579</v>
      </c>
      <c r="L51" s="1591">
        <f>現業務調査!$S$121</f>
        <v>3</v>
      </c>
      <c r="M51" s="1592"/>
      <c r="N51" s="22" t="s">
        <v>523</v>
      </c>
      <c r="R51" s="111"/>
      <c r="S51" s="639"/>
      <c r="T51" s="639"/>
      <c r="U51" s="639"/>
      <c r="V51" s="389"/>
      <c r="W51" s="1573">
        <f>IF(ISBLANK(導入後効果予測!$AD$21),"",導入後効果予測!$AD$21)</f>
        <v>3</v>
      </c>
      <c r="X51" s="1574"/>
      <c r="Y51" s="161" t="s">
        <v>681</v>
      </c>
      <c r="AC51" s="111"/>
      <c r="AD51" s="639"/>
    </row>
    <row r="52" spans="1:30" ht="17.100000000000001" customHeight="1" thickTop="1" thickBot="1">
      <c r="B52" s="387" t="s">
        <v>85</v>
      </c>
      <c r="C52" s="108"/>
      <c r="D52" s="108"/>
      <c r="E52" s="108"/>
      <c r="F52" s="108"/>
      <c r="G52" s="108"/>
      <c r="H52" s="108"/>
      <c r="I52" s="108"/>
      <c r="J52" s="108"/>
      <c r="K52" s="108"/>
      <c r="L52" s="108"/>
      <c r="M52" s="108"/>
      <c r="N52" s="108"/>
      <c r="O52" s="108"/>
      <c r="P52" s="108"/>
      <c r="Q52" s="108"/>
      <c r="R52" s="109"/>
      <c r="V52" s="388"/>
      <c r="W52" s="108"/>
      <c r="X52" s="108"/>
      <c r="Y52" s="108"/>
      <c r="Z52" s="108"/>
      <c r="AA52" s="108"/>
      <c r="AB52" s="108"/>
      <c r="AC52" s="109"/>
    </row>
    <row r="53" spans="1:30" ht="17.100000000000001" customHeight="1" thickTop="1" thickBot="1">
      <c r="B53" s="389" t="s">
        <v>92</v>
      </c>
      <c r="L53" s="1593">
        <f>現業務調査!$Y$129</f>
        <v>0</v>
      </c>
      <c r="M53" s="1594"/>
      <c r="N53" s="1"/>
      <c r="R53" s="111"/>
      <c r="V53" s="389"/>
      <c r="AC53" s="111"/>
    </row>
    <row r="54" spans="1:30" ht="17.100000000000001" customHeight="1" thickTop="1" thickBot="1">
      <c r="B54" s="397" t="s">
        <v>93</v>
      </c>
      <c r="R54" s="111"/>
      <c r="V54" s="389"/>
      <c r="AC54" s="111"/>
    </row>
    <row r="55" spans="1:30" ht="17.100000000000001" customHeight="1" thickTop="1" thickBot="1">
      <c r="B55" s="389" t="s">
        <v>94</v>
      </c>
      <c r="L55" s="1593">
        <f>現業務調査!$Y$131</f>
        <v>0</v>
      </c>
      <c r="M55" s="1594"/>
      <c r="R55" s="111"/>
      <c r="V55" s="389"/>
      <c r="AC55" s="111"/>
    </row>
    <row r="56" spans="1:30" ht="17.100000000000001" customHeight="1" thickTop="1" thickBot="1">
      <c r="B56" s="397" t="s">
        <v>95</v>
      </c>
      <c r="R56" s="111"/>
      <c r="V56" s="389"/>
      <c r="AC56" s="111"/>
    </row>
    <row r="57" spans="1:30" ht="17.100000000000001" customHeight="1" thickTop="1" thickBot="1">
      <c r="B57" s="389" t="s">
        <v>89</v>
      </c>
      <c r="M57" s="1593">
        <f>現業務調査!$Y$132</f>
        <v>0</v>
      </c>
      <c r="N57" s="1594"/>
      <c r="O57" s="1" t="s">
        <v>523</v>
      </c>
      <c r="R57" s="111"/>
      <c r="V57" s="389"/>
      <c r="AC57" s="111"/>
    </row>
    <row r="58" spans="1:30" ht="17.100000000000001" customHeight="1" thickTop="1" thickBot="1">
      <c r="B58" s="389" t="s">
        <v>86</v>
      </c>
      <c r="R58" s="111"/>
      <c r="V58" s="389"/>
      <c r="AC58" s="111"/>
    </row>
    <row r="59" spans="1:30" ht="17.100000000000001" customHeight="1" thickTop="1" thickBot="1">
      <c r="B59" s="389"/>
      <c r="C59" s="158" t="s">
        <v>101</v>
      </c>
      <c r="H59" s="22"/>
      <c r="I59" s="22"/>
      <c r="L59" s="1559">
        <f>現業務調査!$T137</f>
        <v>0</v>
      </c>
      <c r="M59" s="1560"/>
      <c r="N59" s="22" t="s">
        <v>523</v>
      </c>
      <c r="P59" s="1561">
        <f>現業務調査!$Y137</f>
        <v>0</v>
      </c>
      <c r="Q59" s="1562"/>
      <c r="R59" s="111"/>
      <c r="V59" s="389"/>
      <c r="AC59" s="111"/>
    </row>
    <row r="60" spans="1:30" ht="17.100000000000001" customHeight="1" thickTop="1" thickBot="1">
      <c r="B60" s="389"/>
      <c r="C60" s="22" t="s">
        <v>102</v>
      </c>
      <c r="H60" s="22"/>
      <c r="I60" s="22"/>
      <c r="J60" s="22"/>
      <c r="K60" s="22"/>
      <c r="L60" s="1559">
        <f>現業務調査!$T138</f>
        <v>0</v>
      </c>
      <c r="M60" s="1560"/>
      <c r="N60" s="22" t="s">
        <v>523</v>
      </c>
      <c r="P60" s="1561">
        <f>現業務調査!$Y138</f>
        <v>1</v>
      </c>
      <c r="Q60" s="1562"/>
      <c r="R60" s="111"/>
      <c r="V60" s="389"/>
      <c r="AC60" s="111"/>
    </row>
    <row r="61" spans="1:30" ht="17.100000000000001" customHeight="1" thickTop="1" thickBot="1">
      <c r="B61" s="389"/>
      <c r="J61" s="1"/>
      <c r="K61" s="35" t="s">
        <v>87</v>
      </c>
      <c r="L61" s="1591">
        <f>現業務調査!$T$139</f>
        <v>0</v>
      </c>
      <c r="M61" s="1592"/>
      <c r="N61" s="22" t="s">
        <v>523</v>
      </c>
      <c r="R61" s="111"/>
      <c r="V61" s="389"/>
      <c r="W61" s="1587">
        <f>IF(ISBLANK(導入後効果予測!$AD$28),"",導入後効果予測!$AD$28)</f>
        <v>0</v>
      </c>
      <c r="X61" s="1588"/>
      <c r="Y61" s="161" t="s">
        <v>681</v>
      </c>
      <c r="AC61" s="111"/>
    </row>
    <row r="62" spans="1:30" ht="17.100000000000001" customHeight="1" thickTop="1" thickBot="1">
      <c r="B62" s="389"/>
      <c r="J62" s="1"/>
      <c r="K62" s="35" t="s">
        <v>88</v>
      </c>
      <c r="L62" s="1571">
        <f>導入後効果予測!$Y$29</f>
        <v>0</v>
      </c>
      <c r="M62" s="1572"/>
      <c r="N62" s="176" t="s">
        <v>523</v>
      </c>
      <c r="R62" s="111"/>
      <c r="V62" s="389"/>
      <c r="W62" s="1589">
        <f>IF(ISBLANK(導入後効果予測!$AD$29),"",導入後効果予測!$AD$29)</f>
        <v>0</v>
      </c>
      <c r="X62" s="1590"/>
      <c r="Y62" s="161" t="s">
        <v>681</v>
      </c>
      <c r="AC62" s="111"/>
    </row>
    <row r="63" spans="1:30" ht="17.100000000000001" customHeight="1">
      <c r="B63" s="387" t="s">
        <v>654</v>
      </c>
      <c r="C63" s="108"/>
      <c r="D63" s="108"/>
      <c r="E63" s="108"/>
      <c r="F63" s="108"/>
      <c r="G63" s="108"/>
      <c r="H63" s="108"/>
      <c r="I63" s="108"/>
      <c r="J63" s="108"/>
      <c r="K63" s="108"/>
      <c r="L63" s="108"/>
      <c r="M63" s="108"/>
      <c r="N63" s="108"/>
      <c r="O63" s="108"/>
      <c r="P63" s="108"/>
      <c r="Q63" s="108"/>
      <c r="R63" s="109"/>
      <c r="V63" s="388"/>
      <c r="W63" s="108"/>
      <c r="X63" s="108"/>
      <c r="Y63" s="108"/>
      <c r="Z63" s="108"/>
      <c r="AA63" s="108"/>
      <c r="AB63" s="108"/>
      <c r="AC63" s="109"/>
    </row>
    <row r="64" spans="1:30" ht="17.100000000000001" customHeight="1" thickBot="1">
      <c r="B64" s="389" t="s">
        <v>71</v>
      </c>
      <c r="R64" s="111"/>
      <c r="V64" s="389"/>
      <c r="AC64" s="111"/>
    </row>
    <row r="65" spans="1:33" ht="15" thickTop="1" thickBot="1">
      <c r="A65" s="380"/>
      <c r="B65" s="389"/>
      <c r="C65" s="22" t="s">
        <v>461</v>
      </c>
      <c r="L65" s="1569">
        <f>現業務調査!$Y145</f>
        <v>0</v>
      </c>
      <c r="M65" s="1570"/>
      <c r="R65" s="111"/>
      <c r="V65" s="389"/>
      <c r="AC65" s="111"/>
    </row>
    <row r="66" spans="1:33" ht="17.100000000000001" customHeight="1" thickTop="1" thickBot="1">
      <c r="B66" s="389"/>
      <c r="C66" s="22" t="s">
        <v>462</v>
      </c>
      <c r="L66" s="1569">
        <f>現業務調査!$Y146</f>
        <v>0</v>
      </c>
      <c r="M66" s="1570"/>
      <c r="R66" s="111"/>
      <c r="V66" s="389"/>
      <c r="AC66" s="111"/>
    </row>
    <row r="67" spans="1:33" ht="17.100000000000001" customHeight="1" thickTop="1" thickBot="1">
      <c r="A67" s="1"/>
      <c r="B67" s="389" t="s">
        <v>86</v>
      </c>
      <c r="R67" s="111"/>
      <c r="V67" s="389"/>
      <c r="AC67" s="111"/>
    </row>
    <row r="68" spans="1:33" ht="17.100000000000001" customHeight="1" thickTop="1" thickBot="1">
      <c r="A68" s="1"/>
      <c r="B68" s="389"/>
      <c r="C68" s="22" t="s">
        <v>101</v>
      </c>
      <c r="K68" s="380"/>
      <c r="L68" s="1559">
        <f>現業務調査!$S153</f>
        <v>0</v>
      </c>
      <c r="M68" s="1560"/>
      <c r="N68" s="22" t="s">
        <v>523</v>
      </c>
      <c r="P68" s="1561">
        <f>現業務調査!$Y153</f>
        <v>0</v>
      </c>
      <c r="Q68" s="1562"/>
      <c r="R68" s="111"/>
      <c r="V68" s="389"/>
      <c r="AC68" s="111"/>
    </row>
    <row r="69" spans="1:33" ht="17.100000000000001" customHeight="1" thickTop="1" thickBot="1">
      <c r="B69" s="389"/>
      <c r="C69" s="22" t="s">
        <v>103</v>
      </c>
      <c r="K69" s="380"/>
      <c r="L69" s="1585">
        <f>現業務調査!$S154</f>
        <v>0</v>
      </c>
      <c r="M69" s="1586"/>
      <c r="N69" s="22" t="s">
        <v>523</v>
      </c>
      <c r="P69" s="1561">
        <f>現業務調査!$Y154</f>
        <v>1</v>
      </c>
      <c r="Q69" s="1562"/>
      <c r="R69" s="111"/>
      <c r="V69" s="389"/>
      <c r="AC69" s="111"/>
    </row>
    <row r="70" spans="1:33" ht="17.100000000000001" customHeight="1" thickTop="1" thickBot="1">
      <c r="B70" s="385"/>
      <c r="C70" s="113"/>
      <c r="D70" s="113"/>
      <c r="E70" s="113"/>
      <c r="F70" s="113"/>
      <c r="G70" s="113"/>
      <c r="H70" s="113"/>
      <c r="I70" s="113"/>
      <c r="J70" s="113"/>
      <c r="K70" s="386" t="s">
        <v>579</v>
      </c>
      <c r="L70" s="1583">
        <f>現業務調査!$S$155</f>
        <v>0</v>
      </c>
      <c r="M70" s="1584"/>
      <c r="N70" s="112" t="s">
        <v>523</v>
      </c>
      <c r="O70" s="113"/>
      <c r="P70" s="113"/>
      <c r="Q70" s="113"/>
      <c r="R70" s="114"/>
      <c r="V70" s="385"/>
      <c r="W70" s="1581">
        <f>IF(ISBLANK(導入後効果予測!$AD$35),"",導入後効果予測!$AD$35)</f>
        <v>0</v>
      </c>
      <c r="X70" s="1582"/>
      <c r="Y70" s="394" t="s">
        <v>681</v>
      </c>
      <c r="Z70" s="113"/>
      <c r="AA70" s="113"/>
      <c r="AB70" s="113"/>
      <c r="AC70" s="114"/>
    </row>
    <row r="71" spans="1:33" ht="7.5" customHeight="1"/>
    <row r="72" spans="1:33" ht="21">
      <c r="A72" s="381" t="s">
        <v>90</v>
      </c>
      <c r="B72" s="161"/>
      <c r="C72" s="161"/>
      <c r="D72" s="161"/>
      <c r="E72" s="161"/>
      <c r="F72" s="161"/>
      <c r="G72" s="161"/>
      <c r="H72" s="161"/>
      <c r="I72" s="161"/>
      <c r="J72" s="161"/>
      <c r="K72" s="161"/>
      <c r="L72" s="161"/>
      <c r="M72" s="161"/>
      <c r="N72" s="161"/>
      <c r="O72" s="161"/>
      <c r="P72" s="161"/>
      <c r="Q72" s="161"/>
      <c r="R72" s="161"/>
      <c r="S72" s="161"/>
      <c r="T72" s="161"/>
      <c r="U72" s="161"/>
      <c r="V72" s="161"/>
      <c r="W72" s="161"/>
      <c r="X72" s="161"/>
      <c r="Y72" s="161"/>
      <c r="Z72" s="161"/>
      <c r="AA72" s="161"/>
      <c r="AB72" s="161"/>
      <c r="AC72" s="161"/>
    </row>
    <row r="73" spans="1:33" ht="7.5" customHeight="1" thickBot="1">
      <c r="A73" s="381"/>
      <c r="B73" s="161"/>
      <c r="C73" s="161"/>
      <c r="D73" s="161"/>
      <c r="E73" s="161"/>
      <c r="F73" s="161"/>
      <c r="G73" s="161"/>
      <c r="H73" s="161"/>
      <c r="I73" s="161"/>
      <c r="J73" s="161"/>
      <c r="K73" s="161"/>
      <c r="L73" s="161"/>
      <c r="M73" s="161"/>
      <c r="N73" s="161"/>
      <c r="O73" s="161"/>
      <c r="P73" s="161"/>
      <c r="Q73" s="161"/>
      <c r="R73" s="161"/>
      <c r="S73" s="161"/>
      <c r="T73" s="161"/>
      <c r="U73" s="161"/>
      <c r="V73" s="161"/>
      <c r="W73" s="161"/>
      <c r="X73" s="161"/>
      <c r="Y73" s="161"/>
      <c r="Z73" s="161"/>
      <c r="AA73" s="161"/>
      <c r="AB73" s="161"/>
      <c r="AC73" s="161"/>
    </row>
    <row r="74" spans="1:33" ht="14.25" thickBot="1">
      <c r="B74" s="1567">
        <f>目標電子化率!$C$11</f>
        <v>1</v>
      </c>
      <c r="C74" s="1568"/>
      <c r="D74" s="402" t="s">
        <v>727</v>
      </c>
      <c r="E74" s="398"/>
      <c r="F74" s="398"/>
      <c r="G74" s="398"/>
      <c r="H74" s="398"/>
      <c r="I74" s="398"/>
      <c r="J74" s="398"/>
      <c r="K74" s="108"/>
      <c r="L74" s="108"/>
      <c r="M74" s="108"/>
      <c r="N74" s="403" t="s">
        <v>400</v>
      </c>
      <c r="O74" s="1553">
        <f>目標電子化率!$M$13</f>
        <v>0.2</v>
      </c>
      <c r="P74" s="1554"/>
      <c r="Q74" s="406"/>
      <c r="R74" s="108"/>
      <c r="S74" s="398"/>
      <c r="T74" s="398"/>
      <c r="U74" s="401" t="s">
        <v>401</v>
      </c>
      <c r="V74" s="1553">
        <f>目標電子化率!$M$14</f>
        <v>0</v>
      </c>
      <c r="W74" s="1554"/>
      <c r="X74" s="406"/>
      <c r="Y74" s="398"/>
      <c r="Z74" s="398"/>
      <c r="AA74" s="398"/>
      <c r="AB74" s="398"/>
      <c r="AC74" s="399"/>
    </row>
    <row r="75" spans="1:33" ht="17.100000000000001" customHeight="1" thickTop="1" thickBot="1">
      <c r="B75" s="1567">
        <f>目標電子化率!$C$16</f>
        <v>3</v>
      </c>
      <c r="C75" s="1568"/>
      <c r="D75" s="404" t="s">
        <v>727</v>
      </c>
      <c r="E75" s="171"/>
      <c r="F75" s="171"/>
      <c r="G75" s="171"/>
      <c r="H75" s="171"/>
      <c r="I75" s="171"/>
      <c r="J75" s="171"/>
      <c r="N75" s="405" t="s">
        <v>400</v>
      </c>
      <c r="O75" s="1553">
        <f>目標電子化率!$M$18</f>
        <v>0.4</v>
      </c>
      <c r="P75" s="1554"/>
      <c r="Q75" s="407"/>
      <c r="S75" s="171"/>
      <c r="T75" s="171"/>
      <c r="U75" s="408" t="s">
        <v>401</v>
      </c>
      <c r="V75" s="1553">
        <f>目標電子化率!$M$18</f>
        <v>0.4</v>
      </c>
      <c r="W75" s="1554"/>
      <c r="X75" s="407"/>
      <c r="Y75" s="171"/>
      <c r="Z75" s="171"/>
      <c r="AA75" s="169"/>
      <c r="AB75" s="169"/>
      <c r="AC75" s="409"/>
    </row>
    <row r="76" spans="1:33" ht="17.100000000000001" customHeight="1" thickTop="1" thickBot="1">
      <c r="B76" s="1555">
        <f>目標電子化率!$C$21</f>
        <v>5</v>
      </c>
      <c r="C76" s="1556"/>
      <c r="D76" s="410" t="s">
        <v>727</v>
      </c>
      <c r="E76" s="393"/>
      <c r="F76" s="393"/>
      <c r="G76" s="393"/>
      <c r="H76" s="393"/>
      <c r="I76" s="393"/>
      <c r="J76" s="393"/>
      <c r="K76" s="113"/>
      <c r="L76" s="113"/>
      <c r="M76" s="113"/>
      <c r="N76" s="411" t="s">
        <v>400</v>
      </c>
      <c r="O76" s="1557">
        <f>目標電子化率!$M$23</f>
        <v>0.6</v>
      </c>
      <c r="P76" s="1558"/>
      <c r="Q76" s="412"/>
      <c r="R76" s="113"/>
      <c r="S76" s="393"/>
      <c r="T76" s="393"/>
      <c r="U76" s="413" t="s">
        <v>401</v>
      </c>
      <c r="V76" s="1557">
        <f>目標電子化率!$M$24</f>
        <v>0</v>
      </c>
      <c r="W76" s="1558"/>
      <c r="X76" s="412"/>
      <c r="Y76" s="393"/>
      <c r="Z76" s="393"/>
      <c r="AA76" s="394"/>
      <c r="AB76" s="394"/>
      <c r="AC76" s="400"/>
    </row>
    <row r="77" spans="1:33" ht="17.100000000000001" customHeight="1">
      <c r="A77" s="161"/>
      <c r="B77" s="162"/>
      <c r="C77" s="162"/>
      <c r="D77" s="162"/>
      <c r="E77" s="162"/>
      <c r="F77" s="162"/>
      <c r="G77" s="162"/>
      <c r="H77" s="162"/>
      <c r="I77" s="162"/>
      <c r="J77" s="162"/>
      <c r="K77" s="162"/>
      <c r="L77" s="162"/>
      <c r="M77" s="162"/>
      <c r="N77" s="162"/>
      <c r="O77" s="162"/>
      <c r="P77" s="162"/>
      <c r="Q77" s="162"/>
      <c r="R77" s="162"/>
      <c r="S77" s="162"/>
      <c r="T77" s="162"/>
    </row>
    <row r="78" spans="1:33" ht="17.100000000000001" customHeight="1">
      <c r="A78" s="162"/>
    </row>
    <row r="79" spans="1:33" ht="7.5" customHeight="1">
      <c r="A79" s="161"/>
      <c r="AD79" s="161"/>
      <c r="AE79" s="161"/>
      <c r="AF79" s="161"/>
      <c r="AG79" s="161"/>
    </row>
    <row r="80" spans="1:33">
      <c r="A80" s="161"/>
      <c r="AD80"/>
      <c r="AE80"/>
      <c r="AF80"/>
      <c r="AG80"/>
    </row>
    <row r="81" spans="1:33" s="161" customFormat="1" ht="7.5" customHeight="1">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row>
    <row r="82" spans="1:33" customFormat="1" ht="17.100000000000001" customHeight="1">
      <c r="A82" s="21"/>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161"/>
      <c r="AE82" s="161"/>
      <c r="AF82" s="161"/>
      <c r="AG82" s="161"/>
    </row>
    <row r="83" spans="1:33" s="161" customFormat="1" ht="17.100000000000001" customHeight="1">
      <c r="A83" s="21"/>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row>
    <row r="84" spans="1:33" s="161" customFormat="1" ht="17.100000000000001" customHeight="1">
      <c r="A84" s="21"/>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row>
  </sheetData>
  <sheetProtection password="CF68" sheet="1"/>
  <mergeCells count="75">
    <mergeCell ref="W6:X6"/>
    <mergeCell ref="L32:M32"/>
    <mergeCell ref="L16:M16"/>
    <mergeCell ref="L6:M6"/>
    <mergeCell ref="L7:M7"/>
    <mergeCell ref="L8:M8"/>
    <mergeCell ref="L26:M26"/>
    <mergeCell ref="L27:M27"/>
    <mergeCell ref="L9:M9"/>
    <mergeCell ref="L31:M31"/>
    <mergeCell ref="L18:M18"/>
    <mergeCell ref="L23:M23"/>
    <mergeCell ref="L24:M24"/>
    <mergeCell ref="L25:M25"/>
    <mergeCell ref="V74:W74"/>
    <mergeCell ref="P16:Q16"/>
    <mergeCell ref="L21:M21"/>
    <mergeCell ref="P18:Q18"/>
    <mergeCell ref="L19:M19"/>
    <mergeCell ref="L17:M17"/>
    <mergeCell ref="P17:Q17"/>
    <mergeCell ref="L51:M51"/>
    <mergeCell ref="P47:Q47"/>
    <mergeCell ref="P48:Q48"/>
    <mergeCell ref="P49:Q49"/>
    <mergeCell ref="P50:Q50"/>
    <mergeCell ref="L47:M47"/>
    <mergeCell ref="L48:M48"/>
    <mergeCell ref="L49:M49"/>
    <mergeCell ref="L35:M35"/>
    <mergeCell ref="W61:X61"/>
    <mergeCell ref="W62:X62"/>
    <mergeCell ref="P59:Q59"/>
    <mergeCell ref="P60:Q60"/>
    <mergeCell ref="L61:M61"/>
    <mergeCell ref="L53:M53"/>
    <mergeCell ref="L59:M59"/>
    <mergeCell ref="L60:M60"/>
    <mergeCell ref="L55:M55"/>
    <mergeCell ref="M57:N57"/>
    <mergeCell ref="W70:X70"/>
    <mergeCell ref="L70:M70"/>
    <mergeCell ref="P68:Q68"/>
    <mergeCell ref="P69:Q69"/>
    <mergeCell ref="L68:M68"/>
    <mergeCell ref="L69:M69"/>
    <mergeCell ref="W19:X19"/>
    <mergeCell ref="W51:X51"/>
    <mergeCell ref="L28:M28"/>
    <mergeCell ref="W28:X28"/>
    <mergeCell ref="L50:M50"/>
    <mergeCell ref="L44:M44"/>
    <mergeCell ref="L45:M45"/>
    <mergeCell ref="L40:M40"/>
    <mergeCell ref="L42:M42"/>
    <mergeCell ref="L22:M22"/>
    <mergeCell ref="P35:Q35"/>
    <mergeCell ref="L36:M36"/>
    <mergeCell ref="P36:Q36"/>
    <mergeCell ref="B74:C74"/>
    <mergeCell ref="L65:M65"/>
    <mergeCell ref="L66:M66"/>
    <mergeCell ref="L62:M62"/>
    <mergeCell ref="O74:P74"/>
    <mergeCell ref="L41:M41"/>
    <mergeCell ref="O75:P75"/>
    <mergeCell ref="V75:W75"/>
    <mergeCell ref="B76:C76"/>
    <mergeCell ref="O76:P76"/>
    <mergeCell ref="V76:W76"/>
    <mergeCell ref="L37:M37"/>
    <mergeCell ref="P37:Q37"/>
    <mergeCell ref="L38:M38"/>
    <mergeCell ref="W38:X38"/>
    <mergeCell ref="B75:C75"/>
  </mergeCells>
  <phoneticPr fontId="2"/>
  <conditionalFormatting sqref="P68:Q69 L59:M62 P59:Q60 L35:M37 L68:M70 L44:M45 L47:M51 P47:P50 L38 L40:M42 L65:M66 L19 L16:M18 P16:Q18 L31:M32 P35:Q37 L21:M28 O74:O76 B74:B76 V74:V76">
    <cfRule type="cellIs" dxfId="0" priority="1" stopIfTrue="1" operator="equal">
      <formula>0</formula>
    </cfRule>
  </conditionalFormatting>
  <printOptions horizontalCentered="1"/>
  <pageMargins left="0.39370078740157483" right="0.39370078740157483" top="0.51181102362204722" bottom="0.51181102362204722" header="0.51181102362204722" footer="0.51181102362204722"/>
  <pageSetup paperSize="9" scale="68"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B2:AT38"/>
  <sheetViews>
    <sheetView showGridLines="0" zoomScale="75" zoomScaleNormal="75" workbookViewId="0">
      <selection activeCell="G5" sqref="G5:I5"/>
    </sheetView>
  </sheetViews>
  <sheetFormatPr defaultRowHeight="13.5" outlineLevelRow="1"/>
  <cols>
    <col min="1" max="1" width="1.25" style="124" customWidth="1"/>
    <col min="2" max="51" width="3.625" style="124" customWidth="1"/>
    <col min="52" max="16384" width="9" style="124"/>
  </cols>
  <sheetData>
    <row r="2" spans="2:46" ht="24">
      <c r="B2" s="123" t="s">
        <v>480</v>
      </c>
    </row>
    <row r="3" spans="2:46" ht="14.25" thickBot="1"/>
    <row r="4" spans="2:46" ht="25.5" customHeight="1" thickBot="1">
      <c r="B4" s="1620" t="s">
        <v>481</v>
      </c>
      <c r="C4" s="1620"/>
      <c r="D4" s="1620"/>
      <c r="E4" s="1620"/>
      <c r="F4" s="1620"/>
      <c r="G4" s="1623" t="s">
        <v>193</v>
      </c>
      <c r="H4" s="1623"/>
      <c r="I4" s="1623"/>
      <c r="J4" s="1623"/>
      <c r="K4" s="1623"/>
      <c r="L4" s="1623"/>
      <c r="M4" s="1623"/>
      <c r="N4" s="1623"/>
      <c r="O4" s="1623"/>
      <c r="P4" s="1623"/>
      <c r="Q4" s="1623"/>
    </row>
    <row r="5" spans="2:46" ht="25.5" customHeight="1" thickBot="1">
      <c r="B5" s="1620" t="s">
        <v>775</v>
      </c>
      <c r="C5" s="1620"/>
      <c r="D5" s="1620"/>
      <c r="E5" s="1620"/>
      <c r="F5" s="1620"/>
      <c r="G5" s="1621">
        <f>業務書類量調査!U19</f>
        <v>2400</v>
      </c>
      <c r="H5" s="1621"/>
      <c r="I5" s="1621"/>
      <c r="J5" s="1620" t="s">
        <v>494</v>
      </c>
      <c r="K5" s="1620"/>
      <c r="L5" s="1620"/>
      <c r="M5" s="1620"/>
      <c r="N5" s="1620"/>
      <c r="O5" s="1622">
        <f>現業務調査!Y43</f>
        <v>3</v>
      </c>
      <c r="P5" s="1622"/>
      <c r="Q5" s="1622"/>
    </row>
    <row r="6" spans="2:46" ht="25.5" customHeight="1" thickBot="1">
      <c r="B6" s="1620" t="s">
        <v>789</v>
      </c>
      <c r="C6" s="1620"/>
      <c r="D6" s="1620"/>
      <c r="E6" s="1620"/>
      <c r="F6" s="1620"/>
      <c r="G6" s="1621">
        <f>業務書類量調査!U25</f>
        <v>7200</v>
      </c>
      <c r="H6" s="1621"/>
      <c r="I6" s="1621"/>
      <c r="J6" s="1620" t="s">
        <v>34</v>
      </c>
      <c r="K6" s="1620"/>
      <c r="L6" s="1620"/>
      <c r="M6" s="1620"/>
      <c r="N6" s="1620"/>
      <c r="O6" s="1621">
        <f>業務書類量調査!U30</f>
        <v>0</v>
      </c>
      <c r="P6" s="1621"/>
      <c r="Q6" s="1621"/>
      <c r="S6" s="1620" t="s">
        <v>482</v>
      </c>
      <c r="T6" s="1620"/>
      <c r="U6" s="1620"/>
      <c r="V6" s="1620"/>
      <c r="W6" s="1620"/>
      <c r="X6" s="1620"/>
      <c r="Y6" s="1620"/>
      <c r="Z6" s="1667">
        <f>業務書類量調査!U33</f>
        <v>10</v>
      </c>
      <c r="AA6" s="1667"/>
      <c r="AB6" s="1667"/>
    </row>
    <row r="7" spans="2:46" ht="14.25" thickBot="1"/>
    <row r="8" spans="2:46" ht="27" customHeight="1">
      <c r="B8" s="1628"/>
      <c r="C8" s="1629"/>
      <c r="D8" s="1629"/>
      <c r="E8" s="1629"/>
      <c r="F8" s="1629"/>
      <c r="G8" s="1632" t="s">
        <v>132</v>
      </c>
      <c r="H8" s="1632"/>
      <c r="I8" s="1632"/>
      <c r="J8" s="1632"/>
      <c r="K8" s="1632"/>
      <c r="L8" s="1632"/>
      <c r="M8" s="1632"/>
      <c r="N8" s="1632"/>
      <c r="O8" s="1632"/>
      <c r="P8" s="1632"/>
      <c r="Q8" s="1632"/>
      <c r="R8" s="1632"/>
      <c r="S8" s="1633"/>
      <c r="T8"/>
      <c r="U8" s="1628"/>
      <c r="V8" s="1629"/>
      <c r="W8" s="1629"/>
      <c r="X8" s="1629"/>
      <c r="Y8" s="1629"/>
      <c r="Z8" s="1632" t="s">
        <v>133</v>
      </c>
      <c r="AA8" s="1632"/>
      <c r="AB8" s="1632"/>
      <c r="AC8" s="1632"/>
      <c r="AD8" s="1632"/>
      <c r="AE8" s="1632"/>
      <c r="AF8" s="1632"/>
      <c r="AG8" s="1632"/>
      <c r="AH8" s="1632"/>
      <c r="AI8" s="1632"/>
      <c r="AJ8" s="1632"/>
      <c r="AK8" s="1632"/>
      <c r="AL8" s="1632"/>
      <c r="AM8" s="1632"/>
      <c r="AN8" s="1632"/>
      <c r="AO8" s="1632"/>
      <c r="AP8" s="1632"/>
      <c r="AQ8" s="1632"/>
      <c r="AR8" s="1632"/>
      <c r="AS8" s="1632"/>
      <c r="AT8" s="1633"/>
    </row>
    <row r="9" spans="2:46" s="125" customFormat="1" ht="33" customHeight="1" thickBot="1">
      <c r="B9" s="1630"/>
      <c r="C9" s="1631"/>
      <c r="D9" s="1631"/>
      <c r="E9" s="1631"/>
      <c r="F9" s="1631"/>
      <c r="G9" s="1610" t="s">
        <v>134</v>
      </c>
      <c r="H9" s="1610"/>
      <c r="I9" s="1610"/>
      <c r="J9" s="1610"/>
      <c r="K9" s="1610" t="s">
        <v>135</v>
      </c>
      <c r="L9" s="1610"/>
      <c r="M9" s="1610"/>
      <c r="N9" s="1610"/>
      <c r="O9" s="1610" t="s">
        <v>486</v>
      </c>
      <c r="P9" s="1610"/>
      <c r="Q9" s="1610"/>
      <c r="R9" s="1610"/>
      <c r="S9" s="1611"/>
      <c r="U9" s="1630"/>
      <c r="V9" s="1631"/>
      <c r="W9" s="1631"/>
      <c r="X9" s="1631"/>
      <c r="Y9" s="1631"/>
      <c r="Z9" s="1610" t="s">
        <v>134</v>
      </c>
      <c r="AA9" s="1610"/>
      <c r="AB9" s="1610"/>
      <c r="AC9" s="1610"/>
      <c r="AD9" s="1610" t="s">
        <v>136</v>
      </c>
      <c r="AE9" s="1610"/>
      <c r="AF9" s="1610"/>
      <c r="AG9" s="1610"/>
      <c r="AH9" s="1610" t="s">
        <v>135</v>
      </c>
      <c r="AI9" s="1610"/>
      <c r="AJ9" s="1610"/>
      <c r="AK9" s="1610"/>
      <c r="AL9" s="1610" t="s">
        <v>137</v>
      </c>
      <c r="AM9" s="1610"/>
      <c r="AN9" s="1610"/>
      <c r="AO9" s="1610"/>
      <c r="AP9" s="1610" t="s">
        <v>486</v>
      </c>
      <c r="AQ9" s="1610"/>
      <c r="AR9" s="1610"/>
      <c r="AS9" s="1610"/>
      <c r="AT9" s="1611"/>
    </row>
    <row r="10" spans="2:46" ht="27.75" customHeight="1">
      <c r="B10" s="1626" t="s">
        <v>650</v>
      </c>
      <c r="C10" s="1627"/>
      <c r="D10" s="1627"/>
      <c r="E10" s="1627"/>
      <c r="F10" s="1627"/>
      <c r="G10" s="1609">
        <f>●計算表!D38+●計算表!D43</f>
        <v>0</v>
      </c>
      <c r="H10" s="1609"/>
      <c r="I10" s="1609"/>
      <c r="J10" s="1609"/>
      <c r="K10" s="1616">
        <f>●計算表!D48</f>
        <v>0</v>
      </c>
      <c r="L10" s="1616"/>
      <c r="M10" s="1616"/>
      <c r="N10" s="1616"/>
      <c r="O10" s="1612">
        <f>(G10*基礎情報!$Q$4)+K10</f>
        <v>0</v>
      </c>
      <c r="P10" s="1612"/>
      <c r="Q10" s="1612"/>
      <c r="R10" s="1612"/>
      <c r="S10" s="1613"/>
      <c r="U10" s="1626" t="s">
        <v>650</v>
      </c>
      <c r="V10" s="1627"/>
      <c r="W10" s="1627"/>
      <c r="X10" s="1627"/>
      <c r="Y10" s="1627"/>
      <c r="Z10" s="1609">
        <f>●計算表!P38+●計算表!P43</f>
        <v>0</v>
      </c>
      <c r="AA10" s="1609"/>
      <c r="AB10" s="1609"/>
      <c r="AC10" s="1609"/>
      <c r="AD10" s="1617">
        <f t="shared" ref="AD10:AD15" si="0">Z10-G10</f>
        <v>0</v>
      </c>
      <c r="AE10" s="1617"/>
      <c r="AF10" s="1617"/>
      <c r="AG10" s="1617"/>
      <c r="AH10" s="1616">
        <f>●計算表!P48</f>
        <v>0</v>
      </c>
      <c r="AI10" s="1616"/>
      <c r="AJ10" s="1616"/>
      <c r="AK10" s="1616"/>
      <c r="AL10" s="1616">
        <f t="shared" ref="AL10:AL15" si="1">AH10-K10</f>
        <v>0</v>
      </c>
      <c r="AM10" s="1616"/>
      <c r="AN10" s="1616"/>
      <c r="AO10" s="1616"/>
      <c r="AP10" s="1612">
        <f>(Z10*基礎情報!$Q$4)+AH10</f>
        <v>0</v>
      </c>
      <c r="AQ10" s="1612"/>
      <c r="AR10" s="1612"/>
      <c r="AS10" s="1612"/>
      <c r="AT10" s="1613"/>
    </row>
    <row r="11" spans="2:46" ht="27.75" customHeight="1">
      <c r="B11" s="1607" t="s">
        <v>651</v>
      </c>
      <c r="C11" s="1608"/>
      <c r="D11" s="1608"/>
      <c r="E11" s="1608"/>
      <c r="F11" s="1608"/>
      <c r="G11" s="1601">
        <f>●計算表!D104+●計算表!D109</f>
        <v>0</v>
      </c>
      <c r="H11" s="1601"/>
      <c r="I11" s="1601"/>
      <c r="J11" s="1601"/>
      <c r="K11" s="1619">
        <f>●計算表!D114</f>
        <v>0</v>
      </c>
      <c r="L11" s="1619"/>
      <c r="M11" s="1619"/>
      <c r="N11" s="1619"/>
      <c r="O11" s="1614">
        <f>(G11*基礎情報!$Q$4)+K11</f>
        <v>0</v>
      </c>
      <c r="P11" s="1614"/>
      <c r="Q11" s="1614"/>
      <c r="R11" s="1614"/>
      <c r="S11" s="1615"/>
      <c r="U11" s="1607" t="s">
        <v>651</v>
      </c>
      <c r="V11" s="1608"/>
      <c r="W11" s="1608"/>
      <c r="X11" s="1608"/>
      <c r="Y11" s="1608"/>
      <c r="Z11" s="1601">
        <f>●計算表!P104+●計算表!P109</f>
        <v>0</v>
      </c>
      <c r="AA11" s="1601"/>
      <c r="AB11" s="1601"/>
      <c r="AC11" s="1601"/>
      <c r="AD11" s="1618">
        <f t="shared" si="0"/>
        <v>0</v>
      </c>
      <c r="AE11" s="1618"/>
      <c r="AF11" s="1618"/>
      <c r="AG11" s="1618"/>
      <c r="AH11" s="1619">
        <f>●計算表!P114</f>
        <v>0</v>
      </c>
      <c r="AI11" s="1619"/>
      <c r="AJ11" s="1619"/>
      <c r="AK11" s="1619"/>
      <c r="AL11" s="1619">
        <f t="shared" si="1"/>
        <v>0</v>
      </c>
      <c r="AM11" s="1619"/>
      <c r="AN11" s="1619"/>
      <c r="AO11" s="1619"/>
      <c r="AP11" s="1614">
        <f>(Z11*基礎情報!$Q$4)+AH11</f>
        <v>0</v>
      </c>
      <c r="AQ11" s="1614"/>
      <c r="AR11" s="1614"/>
      <c r="AS11" s="1614"/>
      <c r="AT11" s="1615"/>
    </row>
    <row r="12" spans="2:46" ht="27" customHeight="1">
      <c r="B12" s="1607" t="s">
        <v>652</v>
      </c>
      <c r="C12" s="1608"/>
      <c r="D12" s="1608"/>
      <c r="E12" s="1608"/>
      <c r="F12" s="1608"/>
      <c r="G12" s="1606">
        <f>●計算表!D170</f>
        <v>60</v>
      </c>
      <c r="H12" s="1606"/>
      <c r="I12" s="1606"/>
      <c r="J12" s="1606"/>
      <c r="K12" s="1647">
        <f>●計算表!D175</f>
        <v>120.6</v>
      </c>
      <c r="L12" s="1647"/>
      <c r="M12" s="1647"/>
      <c r="N12" s="1647"/>
      <c r="O12" s="1664">
        <f>(G12*基礎情報!$Q$4)+K12</f>
        <v>3120.6</v>
      </c>
      <c r="P12" s="1664"/>
      <c r="Q12" s="1664"/>
      <c r="R12" s="1664"/>
      <c r="S12" s="1665"/>
      <c r="U12" s="1607" t="s">
        <v>652</v>
      </c>
      <c r="V12" s="1608"/>
      <c r="W12" s="1608"/>
      <c r="X12" s="1608"/>
      <c r="Y12" s="1608"/>
      <c r="Z12" s="1606">
        <f>●計算表!P170</f>
        <v>45</v>
      </c>
      <c r="AA12" s="1606"/>
      <c r="AB12" s="1606"/>
      <c r="AC12" s="1606"/>
      <c r="AD12" s="1666">
        <f t="shared" si="0"/>
        <v>-15</v>
      </c>
      <c r="AE12" s="1666"/>
      <c r="AF12" s="1666"/>
      <c r="AG12" s="1666"/>
      <c r="AH12" s="1647">
        <f>●計算表!P175</f>
        <v>0</v>
      </c>
      <c r="AI12" s="1647"/>
      <c r="AJ12" s="1647"/>
      <c r="AK12" s="1647"/>
      <c r="AL12" s="1647">
        <f t="shared" si="1"/>
        <v>-120.6</v>
      </c>
      <c r="AM12" s="1647"/>
      <c r="AN12" s="1647"/>
      <c r="AO12" s="1647"/>
      <c r="AP12" s="1664">
        <f>(Z12*基礎情報!$Q$4)+AH12</f>
        <v>2250</v>
      </c>
      <c r="AQ12" s="1664"/>
      <c r="AR12" s="1664"/>
      <c r="AS12" s="1664"/>
      <c r="AT12" s="1665"/>
    </row>
    <row r="13" spans="2:46" ht="27" customHeight="1" thickBot="1">
      <c r="B13" s="1641" t="s">
        <v>653</v>
      </c>
      <c r="C13" s="1642"/>
      <c r="D13" s="1642"/>
      <c r="E13" s="1642"/>
      <c r="F13" s="1642"/>
      <c r="G13" s="1634">
        <f>●計算表!D230</f>
        <v>3</v>
      </c>
      <c r="H13" s="1634"/>
      <c r="I13" s="1634"/>
      <c r="J13" s="1634"/>
      <c r="K13" s="1637">
        <f>●計算表!D235</f>
        <v>7.8000000000000007</v>
      </c>
      <c r="L13" s="1637"/>
      <c r="M13" s="1637"/>
      <c r="N13" s="1637"/>
      <c r="O13" s="1639">
        <f>(G13*基礎情報!$Q$4)+K13</f>
        <v>157.80000000000001</v>
      </c>
      <c r="P13" s="1639"/>
      <c r="Q13" s="1639"/>
      <c r="R13" s="1639"/>
      <c r="S13" s="1640"/>
      <c r="U13" s="1641" t="s">
        <v>653</v>
      </c>
      <c r="V13" s="1642"/>
      <c r="W13" s="1642"/>
      <c r="X13" s="1642"/>
      <c r="Y13" s="1642"/>
      <c r="Z13" s="1634">
        <f>●計算表!P230</f>
        <v>3</v>
      </c>
      <c r="AA13" s="1634"/>
      <c r="AB13" s="1634"/>
      <c r="AC13" s="1634"/>
      <c r="AD13" s="1650">
        <f t="shared" si="0"/>
        <v>0</v>
      </c>
      <c r="AE13" s="1650"/>
      <c r="AF13" s="1650"/>
      <c r="AG13" s="1650"/>
      <c r="AH13" s="1637">
        <f>●計算表!P235</f>
        <v>0</v>
      </c>
      <c r="AI13" s="1637"/>
      <c r="AJ13" s="1637"/>
      <c r="AK13" s="1637"/>
      <c r="AL13" s="1637">
        <f t="shared" si="1"/>
        <v>-7.8000000000000007</v>
      </c>
      <c r="AM13" s="1637"/>
      <c r="AN13" s="1637"/>
      <c r="AO13" s="1637"/>
      <c r="AP13" s="1639">
        <f>(Z13*基礎情報!$Q$4)+AH13</f>
        <v>150</v>
      </c>
      <c r="AQ13" s="1639"/>
      <c r="AR13" s="1639"/>
      <c r="AS13" s="1639"/>
      <c r="AT13" s="1640"/>
    </row>
    <row r="14" spans="2:46" ht="27.75" customHeight="1">
      <c r="B14" s="1635" t="s">
        <v>557</v>
      </c>
      <c r="C14" s="1636"/>
      <c r="D14" s="1636"/>
      <c r="E14" s="1636"/>
      <c r="F14" s="1636"/>
      <c r="G14" s="1609">
        <f>●計算表!D286</f>
        <v>0</v>
      </c>
      <c r="H14" s="1609"/>
      <c r="I14" s="1609"/>
      <c r="J14" s="1609"/>
      <c r="K14" s="1616">
        <f>●計算表!D291</f>
        <v>0</v>
      </c>
      <c r="L14" s="1616"/>
      <c r="M14" s="1616"/>
      <c r="N14" s="1616"/>
      <c r="O14" s="1612">
        <f>(G14*基礎情報!$Q$4)+K14</f>
        <v>0</v>
      </c>
      <c r="P14" s="1612"/>
      <c r="Q14" s="1612"/>
      <c r="R14" s="1612"/>
      <c r="S14" s="1613"/>
      <c r="U14" s="1635" t="s">
        <v>557</v>
      </c>
      <c r="V14" s="1636"/>
      <c r="W14" s="1636"/>
      <c r="X14" s="1636"/>
      <c r="Y14" s="1636"/>
      <c r="Z14" s="1609">
        <f>●計算表!P286</f>
        <v>0</v>
      </c>
      <c r="AA14" s="1609"/>
      <c r="AB14" s="1609"/>
      <c r="AC14" s="1609"/>
      <c r="AD14" s="1617">
        <f t="shared" si="0"/>
        <v>0</v>
      </c>
      <c r="AE14" s="1617"/>
      <c r="AF14" s="1617"/>
      <c r="AG14" s="1617"/>
      <c r="AH14" s="1616">
        <f>●計算表!P291</f>
        <v>0</v>
      </c>
      <c r="AI14" s="1616"/>
      <c r="AJ14" s="1616"/>
      <c r="AK14" s="1616"/>
      <c r="AL14" s="1616">
        <f t="shared" si="1"/>
        <v>0</v>
      </c>
      <c r="AM14" s="1616"/>
      <c r="AN14" s="1616"/>
      <c r="AO14" s="1616"/>
      <c r="AP14" s="1612">
        <f>(Z14*基礎情報!$Q$4)+AH14</f>
        <v>0</v>
      </c>
      <c r="AQ14" s="1612"/>
      <c r="AR14" s="1612"/>
      <c r="AS14" s="1612"/>
      <c r="AT14" s="1613"/>
    </row>
    <row r="15" spans="2:46" ht="27" customHeight="1" thickBot="1">
      <c r="B15" s="1648" t="s">
        <v>654</v>
      </c>
      <c r="C15" s="1649"/>
      <c r="D15" s="1649"/>
      <c r="E15" s="1649"/>
      <c r="F15" s="1649"/>
      <c r="G15" s="1602">
        <f>●計算表!D343</f>
        <v>0</v>
      </c>
      <c r="H15" s="1602"/>
      <c r="I15" s="1602"/>
      <c r="J15" s="1602"/>
      <c r="K15" s="1660">
        <f>●計算表!D348</f>
        <v>0</v>
      </c>
      <c r="L15" s="1660"/>
      <c r="M15" s="1660"/>
      <c r="N15" s="1660"/>
      <c r="O15" s="1661">
        <f>(G15*基礎情報!$Q$4)+K15</f>
        <v>0</v>
      </c>
      <c r="P15" s="1661"/>
      <c r="Q15" s="1661"/>
      <c r="R15" s="1661"/>
      <c r="S15" s="1662"/>
      <c r="U15" s="1648" t="s">
        <v>654</v>
      </c>
      <c r="V15" s="1649"/>
      <c r="W15" s="1649"/>
      <c r="X15" s="1649"/>
      <c r="Y15" s="1649"/>
      <c r="Z15" s="1602">
        <f>●計算表!P343</f>
        <v>0</v>
      </c>
      <c r="AA15" s="1602"/>
      <c r="AB15" s="1602"/>
      <c r="AC15" s="1602"/>
      <c r="AD15" s="1663">
        <f t="shared" si="0"/>
        <v>0</v>
      </c>
      <c r="AE15" s="1663"/>
      <c r="AF15" s="1663"/>
      <c r="AG15" s="1663"/>
      <c r="AH15" s="1660">
        <f>●計算表!P348</f>
        <v>0</v>
      </c>
      <c r="AI15" s="1660"/>
      <c r="AJ15" s="1660"/>
      <c r="AK15" s="1660"/>
      <c r="AL15" s="1660">
        <f t="shared" si="1"/>
        <v>0</v>
      </c>
      <c r="AM15" s="1660"/>
      <c r="AN15" s="1660"/>
      <c r="AO15" s="1660"/>
      <c r="AP15" s="1661">
        <f>(Z15*基礎情報!$Q$4)+AH15</f>
        <v>0</v>
      </c>
      <c r="AQ15" s="1661"/>
      <c r="AR15" s="1661"/>
      <c r="AS15" s="1661"/>
      <c r="AT15" s="1662"/>
    </row>
    <row r="16" spans="2:46" ht="27" customHeight="1" thickBot="1"/>
    <row r="17" spans="2:26" ht="21" customHeight="1">
      <c r="B17" s="1628"/>
      <c r="C17" s="1629"/>
      <c r="D17" s="1629"/>
      <c r="E17" s="1629"/>
      <c r="F17" s="1629"/>
      <c r="G17" s="1668" t="s">
        <v>483</v>
      </c>
      <c r="H17" s="1668"/>
      <c r="I17" s="1668"/>
      <c r="J17" s="1668"/>
      <c r="K17" s="1668"/>
      <c r="L17" s="1668"/>
      <c r="M17" s="1668"/>
      <c r="N17" s="1668"/>
      <c r="O17" s="1668"/>
      <c r="P17" s="1668"/>
      <c r="Q17" s="1668"/>
      <c r="R17" s="1668"/>
      <c r="S17" s="1668"/>
      <c r="T17" s="1668"/>
      <c r="U17" s="1668"/>
      <c r="V17" s="1668"/>
      <c r="W17" s="1668"/>
      <c r="X17" s="1668"/>
      <c r="Y17" s="1668"/>
      <c r="Z17" s="1669"/>
    </row>
    <row r="18" spans="2:26" ht="31.5" customHeight="1">
      <c r="B18" s="1652"/>
      <c r="C18" s="1653"/>
      <c r="D18" s="1653"/>
      <c r="E18" s="1653"/>
      <c r="F18" s="1653"/>
      <c r="G18" s="1624" t="s">
        <v>484</v>
      </c>
      <c r="H18" s="1624"/>
      <c r="I18" s="1624"/>
      <c r="J18" s="1624"/>
      <c r="K18" s="1624"/>
      <c r="L18" s="1624"/>
      <c r="M18" s="1624"/>
      <c r="N18" s="1624" t="s">
        <v>485</v>
      </c>
      <c r="O18" s="1624"/>
      <c r="P18" s="1624"/>
      <c r="Q18" s="1624"/>
      <c r="R18" s="1624"/>
      <c r="S18" s="1624"/>
      <c r="T18" s="1624" t="s">
        <v>486</v>
      </c>
      <c r="U18" s="1624"/>
      <c r="V18" s="1624"/>
      <c r="W18" s="1624"/>
      <c r="X18" s="1624"/>
      <c r="Y18" s="1624"/>
      <c r="Z18" s="1625"/>
    </row>
    <row r="19" spans="2:26" s="125" customFormat="1" ht="21.75" customHeight="1">
      <c r="B19" s="1607" t="s">
        <v>650</v>
      </c>
      <c r="C19" s="1608"/>
      <c r="D19" s="1608"/>
      <c r="E19" s="1608"/>
      <c r="F19" s="1608"/>
      <c r="G19" s="1638">
        <f>●計算表!D68</f>
        <v>0</v>
      </c>
      <c r="H19" s="1638"/>
      <c r="I19" s="1638"/>
      <c r="J19" s="1638"/>
      <c r="K19" s="1638"/>
      <c r="L19" s="1638"/>
      <c r="M19" s="1638"/>
      <c r="N19" s="1600">
        <f>●計算表!D74</f>
        <v>0</v>
      </c>
      <c r="O19" s="1600"/>
      <c r="P19" s="1600"/>
      <c r="Q19" s="1600"/>
      <c r="R19" s="1600"/>
      <c r="S19" s="1600"/>
      <c r="T19" s="1604">
        <f>(G20*基礎情報!$Q$4)+N19</f>
        <v>0</v>
      </c>
      <c r="U19" s="1604"/>
      <c r="V19" s="1604"/>
      <c r="W19" s="1604"/>
      <c r="X19" s="1604"/>
      <c r="Y19" s="1604"/>
      <c r="Z19" s="1605"/>
    </row>
    <row r="20" spans="2:26" ht="21.75" hidden="1" customHeight="1" outlineLevel="1">
      <c r="B20" s="1607"/>
      <c r="C20" s="1608"/>
      <c r="D20" s="1608"/>
      <c r="E20" s="1608"/>
      <c r="F20" s="1608"/>
      <c r="G20" s="1603">
        <f>●計算表!D68</f>
        <v>0</v>
      </c>
      <c r="H20" s="1603"/>
      <c r="I20" s="1603"/>
      <c r="J20" s="1603"/>
      <c r="K20" s="1603"/>
      <c r="L20" s="1603"/>
      <c r="M20" s="1603"/>
      <c r="N20" s="1600"/>
      <c r="O20" s="1600"/>
      <c r="P20" s="1600"/>
      <c r="Q20" s="1600"/>
      <c r="R20" s="1600"/>
      <c r="S20" s="1600"/>
      <c r="T20" s="1604"/>
      <c r="U20" s="1604"/>
      <c r="V20" s="1604"/>
      <c r="W20" s="1604"/>
      <c r="X20" s="1604"/>
      <c r="Y20" s="1604"/>
      <c r="Z20" s="1605"/>
    </row>
    <row r="21" spans="2:26" ht="21.75" customHeight="1" collapsed="1">
      <c r="B21" s="1607" t="s">
        <v>651</v>
      </c>
      <c r="C21" s="1608"/>
      <c r="D21" s="1608"/>
      <c r="E21" s="1608"/>
      <c r="F21" s="1608"/>
      <c r="G21" s="1638">
        <f>●計算表!D134</f>
        <v>0</v>
      </c>
      <c r="H21" s="1638"/>
      <c r="I21" s="1638"/>
      <c r="J21" s="1638"/>
      <c r="K21" s="1638"/>
      <c r="L21" s="1638"/>
      <c r="M21" s="1638"/>
      <c r="N21" s="1600">
        <f>●計算表!D140</f>
        <v>0</v>
      </c>
      <c r="O21" s="1600"/>
      <c r="P21" s="1600"/>
      <c r="Q21" s="1600"/>
      <c r="R21" s="1600"/>
      <c r="S21" s="1600"/>
      <c r="T21" s="1604">
        <f>(G22*基礎情報!$Q$4)+N21</f>
        <v>0</v>
      </c>
      <c r="U21" s="1604"/>
      <c r="V21" s="1604"/>
      <c r="W21" s="1604"/>
      <c r="X21" s="1604"/>
      <c r="Y21" s="1604"/>
      <c r="Z21" s="1605"/>
    </row>
    <row r="22" spans="2:26" ht="21.75" hidden="1" customHeight="1" outlineLevel="1">
      <c r="B22" s="1607"/>
      <c r="C22" s="1608"/>
      <c r="D22" s="1608"/>
      <c r="E22" s="1608"/>
      <c r="F22" s="1608"/>
      <c r="G22" s="1603">
        <f>●計算表!D134</f>
        <v>0</v>
      </c>
      <c r="H22" s="1603"/>
      <c r="I22" s="1603"/>
      <c r="J22" s="1603"/>
      <c r="K22" s="1603"/>
      <c r="L22" s="1603"/>
      <c r="M22" s="1603"/>
      <c r="N22" s="1600"/>
      <c r="O22" s="1600"/>
      <c r="P22" s="1600"/>
      <c r="Q22" s="1600"/>
      <c r="R22" s="1600"/>
      <c r="S22" s="1600"/>
      <c r="T22" s="1604"/>
      <c r="U22" s="1604"/>
      <c r="V22" s="1604"/>
      <c r="W22" s="1604"/>
      <c r="X22" s="1604"/>
      <c r="Y22" s="1604"/>
      <c r="Z22" s="1605"/>
    </row>
    <row r="23" spans="2:26" ht="21.75" customHeight="1" collapsed="1">
      <c r="B23" s="1607" t="s">
        <v>652</v>
      </c>
      <c r="C23" s="1608"/>
      <c r="D23" s="1608"/>
      <c r="E23" s="1608"/>
      <c r="F23" s="1608"/>
      <c r="G23" s="1675" t="str">
        <f>●計算表!D198</f>
        <v>300日0分</v>
      </c>
      <c r="H23" s="1675"/>
      <c r="I23" s="1675"/>
      <c r="J23" s="1675"/>
      <c r="K23" s="1675"/>
      <c r="L23" s="1675"/>
      <c r="M23" s="1675"/>
      <c r="N23" s="1677">
        <f>●計算表!D200</f>
        <v>289440</v>
      </c>
      <c r="O23" s="1677"/>
      <c r="P23" s="1677"/>
      <c r="Q23" s="1677"/>
      <c r="R23" s="1677"/>
      <c r="S23" s="1677"/>
      <c r="T23" s="1680">
        <f>(G24*基礎情報!$Q$4)+N23</f>
        <v>7489440</v>
      </c>
      <c r="U23" s="1680"/>
      <c r="V23" s="1680"/>
      <c r="W23" s="1680"/>
      <c r="X23" s="1680"/>
      <c r="Y23" s="1680"/>
      <c r="Z23" s="1681"/>
    </row>
    <row r="24" spans="2:26" ht="21.75" hidden="1" customHeight="1" outlineLevel="1">
      <c r="B24" s="1607"/>
      <c r="C24" s="1608"/>
      <c r="D24" s="1608"/>
      <c r="E24" s="1608"/>
      <c r="F24" s="1608"/>
      <c r="G24" s="1676">
        <f>●計算表!D194</f>
        <v>144000</v>
      </c>
      <c r="H24" s="1676"/>
      <c r="I24" s="1676"/>
      <c r="J24" s="1676"/>
      <c r="K24" s="1676"/>
      <c r="L24" s="1676"/>
      <c r="M24" s="1676"/>
      <c r="N24" s="1677"/>
      <c r="O24" s="1677"/>
      <c r="P24" s="1677"/>
      <c r="Q24" s="1677"/>
      <c r="R24" s="1677"/>
      <c r="S24" s="1677"/>
      <c r="T24" s="1680"/>
      <c r="U24" s="1680"/>
      <c r="V24" s="1680"/>
      <c r="W24" s="1680"/>
      <c r="X24" s="1680"/>
      <c r="Y24" s="1680"/>
      <c r="Z24" s="1681"/>
    </row>
    <row r="25" spans="2:26" ht="21.75" customHeight="1" collapsed="1" thickBot="1">
      <c r="B25" s="1607" t="s">
        <v>653</v>
      </c>
      <c r="C25" s="1608"/>
      <c r="D25" s="1608"/>
      <c r="E25" s="1608"/>
      <c r="F25" s="1608"/>
      <c r="G25" s="1675" t="str">
        <f>●計算表!D258</f>
        <v>15日0分</v>
      </c>
      <c r="H25" s="1675"/>
      <c r="I25" s="1675"/>
      <c r="J25" s="1675"/>
      <c r="K25" s="1675"/>
      <c r="L25" s="1675"/>
      <c r="M25" s="1675"/>
      <c r="N25" s="1677">
        <f>●計算表!D260</f>
        <v>18720</v>
      </c>
      <c r="O25" s="1677"/>
      <c r="P25" s="1677"/>
      <c r="Q25" s="1677"/>
      <c r="R25" s="1677"/>
      <c r="S25" s="1677"/>
      <c r="T25" s="1680">
        <f>(G26*基礎情報!$Q$4)+N25</f>
        <v>378720</v>
      </c>
      <c r="U25" s="1680"/>
      <c r="V25" s="1680"/>
      <c r="W25" s="1680"/>
      <c r="X25" s="1680"/>
      <c r="Y25" s="1680"/>
      <c r="Z25" s="1681"/>
    </row>
    <row r="26" spans="2:26" ht="21.75" hidden="1" customHeight="1" outlineLevel="1" thickBot="1">
      <c r="B26" s="1654"/>
      <c r="C26" s="1655"/>
      <c r="D26" s="1655"/>
      <c r="E26" s="1655"/>
      <c r="F26" s="1655"/>
      <c r="G26" s="1682">
        <f>●計算表!D254</f>
        <v>7200</v>
      </c>
      <c r="H26" s="1682"/>
      <c r="I26" s="1682"/>
      <c r="J26" s="1682"/>
      <c r="K26" s="1682"/>
      <c r="L26" s="1682"/>
      <c r="M26" s="1682"/>
      <c r="N26" s="1683"/>
      <c r="O26" s="1683"/>
      <c r="P26" s="1683"/>
      <c r="Q26" s="1683"/>
      <c r="R26" s="1683"/>
      <c r="S26" s="1683"/>
      <c r="T26" s="1684"/>
      <c r="U26" s="1684"/>
      <c r="V26" s="1684"/>
      <c r="W26" s="1684"/>
      <c r="X26" s="1684"/>
      <c r="Y26" s="1684"/>
      <c r="Z26" s="1685"/>
    </row>
    <row r="27" spans="2:26" ht="21.75" customHeight="1" collapsed="1">
      <c r="B27" s="1635" t="s">
        <v>557</v>
      </c>
      <c r="C27" s="1636"/>
      <c r="D27" s="1636"/>
      <c r="E27" s="1636"/>
      <c r="F27" s="1636"/>
      <c r="G27" s="1686">
        <f>●計算表!D310</f>
        <v>0</v>
      </c>
      <c r="H27" s="1686"/>
      <c r="I27" s="1686"/>
      <c r="J27" s="1686"/>
      <c r="K27" s="1686"/>
      <c r="L27" s="1686"/>
      <c r="M27" s="1686"/>
      <c r="N27" s="1688">
        <f>●計算表!D316</f>
        <v>0</v>
      </c>
      <c r="O27" s="1688"/>
      <c r="P27" s="1688"/>
      <c r="Q27" s="1688"/>
      <c r="R27" s="1688"/>
      <c r="S27" s="1688"/>
      <c r="T27" s="1689">
        <f>(G28*基礎情報!$Q$4)+N27</f>
        <v>0</v>
      </c>
      <c r="U27" s="1689"/>
      <c r="V27" s="1689"/>
      <c r="W27" s="1689"/>
      <c r="X27" s="1689"/>
      <c r="Y27" s="1689"/>
      <c r="Z27" s="1690"/>
    </row>
    <row r="28" spans="2:26" ht="21.75" hidden="1" customHeight="1" outlineLevel="1">
      <c r="B28" s="1643"/>
      <c r="C28" s="1644"/>
      <c r="D28" s="1644"/>
      <c r="E28" s="1644"/>
      <c r="F28" s="1644"/>
      <c r="G28" s="1603">
        <f>●計算表!D310</f>
        <v>0</v>
      </c>
      <c r="H28" s="1603"/>
      <c r="I28" s="1603"/>
      <c r="J28" s="1603"/>
      <c r="K28" s="1603"/>
      <c r="L28" s="1603"/>
      <c r="M28" s="1603"/>
      <c r="N28" s="1600"/>
      <c r="O28" s="1600"/>
      <c r="P28" s="1600"/>
      <c r="Q28" s="1600"/>
      <c r="R28" s="1600"/>
      <c r="S28" s="1600"/>
      <c r="T28" s="1604"/>
      <c r="U28" s="1604"/>
      <c r="V28" s="1604"/>
      <c r="W28" s="1604"/>
      <c r="X28" s="1604"/>
      <c r="Y28" s="1604"/>
      <c r="Z28" s="1605"/>
    </row>
    <row r="29" spans="2:26" ht="21.75" customHeight="1" collapsed="1" thickBot="1">
      <c r="B29" s="1643" t="s">
        <v>654</v>
      </c>
      <c r="C29" s="1644"/>
      <c r="D29" s="1644"/>
      <c r="E29" s="1644"/>
      <c r="F29" s="1644"/>
      <c r="G29" s="1638">
        <f>●計算表!D367</f>
        <v>0</v>
      </c>
      <c r="H29" s="1638"/>
      <c r="I29" s="1638"/>
      <c r="J29" s="1638"/>
      <c r="K29" s="1638"/>
      <c r="L29" s="1638"/>
      <c r="M29" s="1638"/>
      <c r="N29" s="1600">
        <f>●計算表!D373</f>
        <v>0</v>
      </c>
      <c r="O29" s="1600"/>
      <c r="P29" s="1600"/>
      <c r="Q29" s="1600"/>
      <c r="R29" s="1600"/>
      <c r="S29" s="1600"/>
      <c r="T29" s="1604">
        <f>(G30*83)+N29</f>
        <v>0</v>
      </c>
      <c r="U29" s="1604"/>
      <c r="V29" s="1604"/>
      <c r="W29" s="1604"/>
      <c r="X29" s="1604"/>
      <c r="Y29" s="1604"/>
      <c r="Z29" s="1605"/>
    </row>
    <row r="30" spans="2:26" ht="22.5" hidden="1" customHeight="1" outlineLevel="1" thickBot="1">
      <c r="B30" s="1645"/>
      <c r="C30" s="1646"/>
      <c r="D30" s="1646"/>
      <c r="E30" s="1646"/>
      <c r="F30" s="1646"/>
      <c r="G30" s="1698">
        <f>●計算表!D367</f>
        <v>0</v>
      </c>
      <c r="H30" s="1698"/>
      <c r="I30" s="1698"/>
      <c r="J30" s="1698"/>
      <c r="K30" s="1698"/>
      <c r="L30" s="1698"/>
      <c r="M30" s="1698"/>
      <c r="N30" s="1699"/>
      <c r="O30" s="1699"/>
      <c r="P30" s="1699"/>
      <c r="Q30" s="1699"/>
      <c r="R30" s="1699"/>
      <c r="S30" s="1699"/>
      <c r="T30" s="1678"/>
      <c r="U30" s="1678"/>
      <c r="V30" s="1678"/>
      <c r="W30" s="1678"/>
      <c r="X30" s="1678"/>
      <c r="Y30" s="1678"/>
      <c r="Z30" s="1679"/>
    </row>
    <row r="31" spans="2:26" ht="21.75" customHeight="1" collapsed="1" thickBot="1">
      <c r="B31" s="1656" t="s">
        <v>487</v>
      </c>
      <c r="C31" s="1657"/>
      <c r="D31" s="1657"/>
      <c r="E31" s="1657"/>
      <c r="F31" s="1657"/>
      <c r="G31" s="1687">
        <f>●計算表!D383</f>
        <v>180</v>
      </c>
      <c r="H31" s="1687"/>
      <c r="I31" s="1687"/>
      <c r="J31" s="1687"/>
      <c r="K31" s="1687"/>
      <c r="L31" s="1687"/>
      <c r="M31" s="1687"/>
      <c r="N31" s="1692">
        <f>●計算表!D391</f>
        <v>120000</v>
      </c>
      <c r="O31" s="1692"/>
      <c r="P31" s="1692"/>
      <c r="Q31" s="1692"/>
      <c r="R31" s="1692"/>
      <c r="S31" s="1692"/>
      <c r="T31" s="1694">
        <f>(G32*83)+N31</f>
        <v>134940</v>
      </c>
      <c r="U31" s="1694"/>
      <c r="V31" s="1694"/>
      <c r="W31" s="1694"/>
      <c r="X31" s="1694"/>
      <c r="Y31" s="1694"/>
      <c r="Z31" s="1695"/>
    </row>
    <row r="32" spans="2:26" ht="21.75" hidden="1" customHeight="1" outlineLevel="1" thickBot="1">
      <c r="B32" s="1658"/>
      <c r="C32" s="1659"/>
      <c r="D32" s="1659"/>
      <c r="E32" s="1659"/>
      <c r="F32" s="1659"/>
      <c r="G32" s="1691">
        <f>●計算表!D383</f>
        <v>180</v>
      </c>
      <c r="H32" s="1691"/>
      <c r="I32" s="1691"/>
      <c r="J32" s="1691"/>
      <c r="K32" s="1691"/>
      <c r="L32" s="1691"/>
      <c r="M32" s="1691"/>
      <c r="N32" s="1693"/>
      <c r="O32" s="1693"/>
      <c r="P32" s="1693"/>
      <c r="Q32" s="1693"/>
      <c r="R32" s="1693"/>
      <c r="S32" s="1693"/>
      <c r="T32" s="1696"/>
      <c r="U32" s="1696"/>
      <c r="V32" s="1696"/>
      <c r="W32" s="1696"/>
      <c r="X32" s="1696"/>
      <c r="Y32" s="1696"/>
      <c r="Z32" s="1697"/>
    </row>
    <row r="33" spans="2:26" ht="18.75" hidden="1" customHeight="1" outlineLevel="1">
      <c r="B33"/>
      <c r="G33" s="1673">
        <f>SUM(G20,G22,G24,G26,G28,G30,G32)</f>
        <v>151380</v>
      </c>
      <c r="H33" s="1673"/>
      <c r="I33" s="1673"/>
      <c r="J33" s="1673"/>
      <c r="K33" s="1673"/>
      <c r="L33" s="1673"/>
      <c r="M33" s="1674"/>
      <c r="N33" s="266"/>
      <c r="T33" s="267"/>
    </row>
    <row r="34" spans="2:26" ht="18.75" hidden="1" customHeight="1" outlineLevel="1">
      <c r="B34"/>
      <c r="G34" s="1598">
        <f>INT(G33/60/基礎情報!J5)</f>
        <v>315</v>
      </c>
      <c r="H34" s="1598"/>
      <c r="I34" s="1598"/>
      <c r="J34" s="1598"/>
      <c r="K34" s="1598"/>
      <c r="L34" s="1598"/>
      <c r="M34" s="1599"/>
      <c r="N34" s="578"/>
      <c r="T34" s="579"/>
    </row>
    <row r="35" spans="2:26" ht="18.75" hidden="1" customHeight="1" outlineLevel="1">
      <c r="B35"/>
      <c r="G35" s="1598">
        <f>INT((G33-G34*60*基礎情報!J5)/60)</f>
        <v>3</v>
      </c>
      <c r="H35" s="1598"/>
      <c r="I35" s="1598"/>
      <c r="J35" s="1598"/>
      <c r="K35" s="1598"/>
      <c r="L35" s="1598"/>
      <c r="M35" s="1599"/>
      <c r="N35" s="578"/>
      <c r="T35" s="579"/>
    </row>
    <row r="36" spans="2:26" ht="18.75" hidden="1" customHeight="1" outlineLevel="1" thickBot="1">
      <c r="B36"/>
      <c r="G36" s="1598">
        <f>MOD(G33,60)</f>
        <v>0</v>
      </c>
      <c r="H36" s="1598"/>
      <c r="I36" s="1598"/>
      <c r="J36" s="1598"/>
      <c r="K36" s="1598"/>
      <c r="L36" s="1598"/>
      <c r="M36" s="1599"/>
      <c r="N36" s="578"/>
      <c r="T36" s="579"/>
    </row>
    <row r="37" spans="2:26" ht="21.75" customHeight="1" collapsed="1" thickTop="1" thickBot="1">
      <c r="B37" s="1651" t="s">
        <v>590</v>
      </c>
      <c r="C37" s="1651"/>
      <c r="D37" s="1651"/>
      <c r="E37" s="1651"/>
      <c r="F37" s="1651"/>
      <c r="G37" s="1672" t="str">
        <f t="shared" ref="G37:M37" si="2">IF(G34=0,"",G34&amp;"日")&amp;IF(G35=0,"",G35&amp;"時間")&amp;G36&amp;"分"</f>
        <v>315日3時間0分</v>
      </c>
      <c r="H37" s="1672" t="str">
        <f t="shared" si="2"/>
        <v>分</v>
      </c>
      <c r="I37" s="1672" t="str">
        <f t="shared" si="2"/>
        <v>分</v>
      </c>
      <c r="J37" s="1672" t="str">
        <f t="shared" si="2"/>
        <v>分</v>
      </c>
      <c r="K37" s="1672" t="str">
        <f t="shared" si="2"/>
        <v>分</v>
      </c>
      <c r="L37" s="1672" t="str">
        <f t="shared" si="2"/>
        <v>分</v>
      </c>
      <c r="M37" s="1672" t="str">
        <f t="shared" si="2"/>
        <v>分</v>
      </c>
      <c r="N37" s="1671">
        <f>SUM(N19:N32)</f>
        <v>428160</v>
      </c>
      <c r="O37" s="1671"/>
      <c r="P37" s="1671"/>
      <c r="Q37" s="1671"/>
      <c r="R37" s="1671"/>
      <c r="S37" s="1671"/>
      <c r="T37" s="1670">
        <f>SUM(T19:T32)</f>
        <v>8003100</v>
      </c>
      <c r="U37" s="1670"/>
      <c r="V37" s="1670"/>
      <c r="W37" s="1670"/>
      <c r="X37" s="1670"/>
      <c r="Y37" s="1670"/>
      <c r="Z37" s="1670"/>
    </row>
    <row r="38" spans="2:26" ht="14.25" thickTop="1"/>
  </sheetData>
  <sheetProtection password="CF68" sheet="1"/>
  <mergeCells count="132">
    <mergeCell ref="G31:M31"/>
    <mergeCell ref="G28:M28"/>
    <mergeCell ref="N27:S28"/>
    <mergeCell ref="T27:Z28"/>
    <mergeCell ref="G29:M29"/>
    <mergeCell ref="G32:M32"/>
    <mergeCell ref="N31:S32"/>
    <mergeCell ref="T31:Z32"/>
    <mergeCell ref="G30:M30"/>
    <mergeCell ref="N29:S30"/>
    <mergeCell ref="T29:Z30"/>
    <mergeCell ref="T23:Z24"/>
    <mergeCell ref="G25:M25"/>
    <mergeCell ref="G26:M26"/>
    <mergeCell ref="N25:S26"/>
    <mergeCell ref="T25:Z26"/>
    <mergeCell ref="G27:M27"/>
    <mergeCell ref="T37:Z37"/>
    <mergeCell ref="N37:S37"/>
    <mergeCell ref="G37:M37"/>
    <mergeCell ref="G33:M33"/>
    <mergeCell ref="G22:M22"/>
    <mergeCell ref="N21:S22"/>
    <mergeCell ref="T21:Z22"/>
    <mergeCell ref="G23:M23"/>
    <mergeCell ref="G24:M24"/>
    <mergeCell ref="N23:S24"/>
    <mergeCell ref="U15:Y15"/>
    <mergeCell ref="U14:Y14"/>
    <mergeCell ref="U8:Y9"/>
    <mergeCell ref="G14:J14"/>
    <mergeCell ref="G15:J15"/>
    <mergeCell ref="K15:N15"/>
    <mergeCell ref="O15:S15"/>
    <mergeCell ref="O12:S12"/>
    <mergeCell ref="O9:S9"/>
    <mergeCell ref="Z6:AB6"/>
    <mergeCell ref="G17:Z17"/>
    <mergeCell ref="AH14:AK14"/>
    <mergeCell ref="Z9:AC9"/>
    <mergeCell ref="U11:Y11"/>
    <mergeCell ref="AH10:AK10"/>
    <mergeCell ref="AH11:AK11"/>
    <mergeCell ref="Z8:AT8"/>
    <mergeCell ref="AP14:AT14"/>
    <mergeCell ref="AD14:AG14"/>
    <mergeCell ref="AL14:AO14"/>
    <mergeCell ref="AH15:AK15"/>
    <mergeCell ref="AP15:AT15"/>
    <mergeCell ref="AD15:AG15"/>
    <mergeCell ref="AL15:AO15"/>
    <mergeCell ref="AP12:AT12"/>
    <mergeCell ref="AD12:AG12"/>
    <mergeCell ref="AL12:AO12"/>
    <mergeCell ref="AH13:AK13"/>
    <mergeCell ref="AP13:AT13"/>
    <mergeCell ref="AD13:AG13"/>
    <mergeCell ref="AL13:AO13"/>
    <mergeCell ref="AH12:AK12"/>
    <mergeCell ref="B37:F37"/>
    <mergeCell ref="B19:F20"/>
    <mergeCell ref="B17:F18"/>
    <mergeCell ref="B21:F22"/>
    <mergeCell ref="B23:F24"/>
    <mergeCell ref="B25:F26"/>
    <mergeCell ref="B31:F32"/>
    <mergeCell ref="B29:F30"/>
    <mergeCell ref="B27:F28"/>
    <mergeCell ref="B11:F11"/>
    <mergeCell ref="B12:F12"/>
    <mergeCell ref="G12:J12"/>
    <mergeCell ref="K12:N12"/>
    <mergeCell ref="K11:N11"/>
    <mergeCell ref="B15:F15"/>
    <mergeCell ref="K14:N14"/>
    <mergeCell ref="B13:F13"/>
    <mergeCell ref="G19:M19"/>
    <mergeCell ref="G21:M21"/>
    <mergeCell ref="S6:Y6"/>
    <mergeCell ref="K10:N10"/>
    <mergeCell ref="G10:J10"/>
    <mergeCell ref="U10:Y10"/>
    <mergeCell ref="O13:S13"/>
    <mergeCell ref="O14:S14"/>
    <mergeCell ref="G18:M18"/>
    <mergeCell ref="U13:Y13"/>
    <mergeCell ref="B14:F14"/>
    <mergeCell ref="G11:J11"/>
    <mergeCell ref="G13:J13"/>
    <mergeCell ref="K13:N13"/>
    <mergeCell ref="O11:S11"/>
    <mergeCell ref="Z10:AC10"/>
    <mergeCell ref="B5:F5"/>
    <mergeCell ref="T18:Z18"/>
    <mergeCell ref="N18:S18"/>
    <mergeCell ref="B10:F10"/>
    <mergeCell ref="K9:N9"/>
    <mergeCell ref="G9:J9"/>
    <mergeCell ref="B8:F9"/>
    <mergeCell ref="G8:S8"/>
    <mergeCell ref="O10:S10"/>
    <mergeCell ref="Z13:AC13"/>
    <mergeCell ref="AL11:AO11"/>
    <mergeCell ref="B4:F4"/>
    <mergeCell ref="O6:Q6"/>
    <mergeCell ref="O5:Q5"/>
    <mergeCell ref="G6:I6"/>
    <mergeCell ref="G5:I5"/>
    <mergeCell ref="G4:Q4"/>
    <mergeCell ref="J6:N6"/>
    <mergeCell ref="J5:N5"/>
    <mergeCell ref="B6:F6"/>
    <mergeCell ref="G34:M34"/>
    <mergeCell ref="AP9:AT9"/>
    <mergeCell ref="AL9:AO9"/>
    <mergeCell ref="AH9:AK9"/>
    <mergeCell ref="AD9:AG9"/>
    <mergeCell ref="AP10:AT10"/>
    <mergeCell ref="AP11:AT11"/>
    <mergeCell ref="AL10:AO10"/>
    <mergeCell ref="AD10:AG10"/>
    <mergeCell ref="AD11:AG11"/>
    <mergeCell ref="G35:M35"/>
    <mergeCell ref="G36:M36"/>
    <mergeCell ref="N19:S20"/>
    <mergeCell ref="Z11:AC11"/>
    <mergeCell ref="Z15:AC15"/>
    <mergeCell ref="G20:M20"/>
    <mergeCell ref="T19:Z20"/>
    <mergeCell ref="Z12:AC12"/>
    <mergeCell ref="U12:Y12"/>
    <mergeCell ref="Z14:AC14"/>
  </mergeCells>
  <phoneticPr fontId="2"/>
  <pageMargins left="0.6692913385826772" right="0.43307086614173229" top="0.59055118110236227" bottom="0.62992125984251968" header="0.51181102362204722" footer="0.51181102362204722"/>
  <pageSetup paperSize="8" orientation="landscape"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B3:BI189"/>
  <sheetViews>
    <sheetView zoomScale="50" workbookViewId="0">
      <selection activeCell="G5" sqref="G5"/>
    </sheetView>
  </sheetViews>
  <sheetFormatPr defaultRowHeight="13.5"/>
  <cols>
    <col min="1" max="1" width="2.875" customWidth="1"/>
    <col min="2" max="2" width="21.5" customWidth="1"/>
    <col min="3" max="3" width="22.375" bestFit="1" customWidth="1"/>
    <col min="4" max="4" width="2.625" hidden="1" customWidth="1"/>
    <col min="5" max="15" width="16.625" bestFit="1" customWidth="1"/>
    <col min="16" max="27" width="2.875" customWidth="1"/>
    <col min="28" max="61" width="3.625" customWidth="1"/>
    <col min="62" max="77" width="2.875" customWidth="1"/>
  </cols>
  <sheetData>
    <row r="3" spans="2:31">
      <c r="B3" t="s">
        <v>646</v>
      </c>
    </row>
    <row r="5" spans="2:31">
      <c r="E5" t="s">
        <v>272</v>
      </c>
      <c r="F5" t="s">
        <v>717</v>
      </c>
      <c r="G5" t="s">
        <v>592</v>
      </c>
      <c r="H5" t="s">
        <v>593</v>
      </c>
      <c r="I5" t="s">
        <v>594</v>
      </c>
      <c r="J5" t="s">
        <v>595</v>
      </c>
      <c r="K5" t="s">
        <v>596</v>
      </c>
      <c r="L5" t="s">
        <v>597</v>
      </c>
      <c r="M5" t="s">
        <v>598</v>
      </c>
      <c r="N5" t="s">
        <v>599</v>
      </c>
      <c r="O5" t="s">
        <v>600</v>
      </c>
    </row>
    <row r="6" spans="2:31">
      <c r="D6">
        <v>0</v>
      </c>
      <c r="E6">
        <v>1</v>
      </c>
      <c r="F6">
        <v>2</v>
      </c>
      <c r="G6">
        <v>3</v>
      </c>
      <c r="H6">
        <v>4</v>
      </c>
      <c r="I6">
        <v>5</v>
      </c>
      <c r="J6">
        <v>6</v>
      </c>
      <c r="K6">
        <v>7</v>
      </c>
      <c r="L6">
        <v>8</v>
      </c>
      <c r="M6">
        <v>9</v>
      </c>
      <c r="N6">
        <v>10</v>
      </c>
      <c r="O6">
        <v>11</v>
      </c>
      <c r="AC6" t="s">
        <v>488</v>
      </c>
      <c r="AD6" t="s">
        <v>172</v>
      </c>
      <c r="AE6" t="s">
        <v>590</v>
      </c>
    </row>
    <row r="7" spans="2:31" hidden="1">
      <c r="E7">
        <v>0</v>
      </c>
      <c r="F7">
        <v>0</v>
      </c>
      <c r="G7">
        <v>31</v>
      </c>
      <c r="H7">
        <v>40</v>
      </c>
      <c r="I7">
        <v>50</v>
      </c>
      <c r="J7">
        <v>60</v>
      </c>
      <c r="K7">
        <v>60</v>
      </c>
      <c r="L7">
        <v>60</v>
      </c>
      <c r="M7">
        <v>60</v>
      </c>
      <c r="N7">
        <v>60</v>
      </c>
      <c r="O7">
        <v>60</v>
      </c>
    </row>
    <row r="8" spans="2:31" hidden="1">
      <c r="E8">
        <v>0</v>
      </c>
      <c r="F8">
        <v>0</v>
      </c>
      <c r="G8">
        <v>0</v>
      </c>
      <c r="H8">
        <v>0</v>
      </c>
      <c r="I8">
        <v>0</v>
      </c>
      <c r="J8">
        <v>0</v>
      </c>
      <c r="K8">
        <v>0</v>
      </c>
      <c r="L8">
        <v>0</v>
      </c>
      <c r="M8">
        <v>0</v>
      </c>
      <c r="N8">
        <v>0</v>
      </c>
      <c r="O8">
        <v>0</v>
      </c>
    </row>
    <row r="9" spans="2:31">
      <c r="B9" t="s">
        <v>468</v>
      </c>
      <c r="C9" t="s">
        <v>433</v>
      </c>
      <c r="D9">
        <v>0</v>
      </c>
      <c r="E9" s="323">
        <f t="shared" ref="E9:O9" si="0">E7/100</f>
        <v>0</v>
      </c>
      <c r="F9" s="323">
        <f t="shared" si="0"/>
        <v>0</v>
      </c>
      <c r="G9" s="323">
        <f t="shared" si="0"/>
        <v>0.31</v>
      </c>
      <c r="H9" s="323">
        <f t="shared" si="0"/>
        <v>0.4</v>
      </c>
      <c r="I9" s="323">
        <f t="shared" si="0"/>
        <v>0.5</v>
      </c>
      <c r="J9" s="323">
        <f t="shared" si="0"/>
        <v>0.6</v>
      </c>
      <c r="K9" s="323">
        <f t="shared" si="0"/>
        <v>0.6</v>
      </c>
      <c r="L9" s="323">
        <f t="shared" si="0"/>
        <v>0.6</v>
      </c>
      <c r="M9" s="323">
        <f t="shared" si="0"/>
        <v>0.6</v>
      </c>
      <c r="N9" s="323">
        <f t="shared" si="0"/>
        <v>0.6</v>
      </c>
      <c r="O9" s="323">
        <f t="shared" si="0"/>
        <v>0.6</v>
      </c>
      <c r="AB9" t="s">
        <v>149</v>
      </c>
      <c r="AC9" s="324">
        <f>●計算表!P73</f>
        <v>0</v>
      </c>
      <c r="AD9" s="324">
        <f>●計算表!P74</f>
        <v>0</v>
      </c>
      <c r="AE9" s="324">
        <f>AC9+AD9</f>
        <v>0</v>
      </c>
    </row>
    <row r="10" spans="2:31">
      <c r="B10" t="s">
        <v>469</v>
      </c>
      <c r="C10" t="s">
        <v>434</v>
      </c>
      <c r="D10">
        <v>0</v>
      </c>
      <c r="E10" s="323">
        <f t="shared" ref="E10:O10" si="1">E8/100</f>
        <v>0</v>
      </c>
      <c r="F10" s="323">
        <f t="shared" si="1"/>
        <v>0</v>
      </c>
      <c r="G10" s="323">
        <f t="shared" si="1"/>
        <v>0</v>
      </c>
      <c r="H10" s="323">
        <f t="shared" si="1"/>
        <v>0</v>
      </c>
      <c r="I10" s="323">
        <f t="shared" si="1"/>
        <v>0</v>
      </c>
      <c r="J10" s="323">
        <f t="shared" si="1"/>
        <v>0</v>
      </c>
      <c r="K10" s="323">
        <f t="shared" si="1"/>
        <v>0</v>
      </c>
      <c r="L10" s="323">
        <f t="shared" si="1"/>
        <v>0</v>
      </c>
      <c r="M10" s="323">
        <f t="shared" si="1"/>
        <v>0</v>
      </c>
      <c r="N10" s="323">
        <f t="shared" si="1"/>
        <v>0</v>
      </c>
      <c r="O10" s="323">
        <f t="shared" si="1"/>
        <v>0</v>
      </c>
      <c r="AB10" t="s">
        <v>224</v>
      </c>
      <c r="AC10" s="324">
        <f>●計算表!P139</f>
        <v>0</v>
      </c>
      <c r="AD10" s="324">
        <f>●計算表!P140</f>
        <v>0</v>
      </c>
      <c r="AE10" s="324">
        <f t="shared" ref="AE10:AE15" si="2">AC10+AD10</f>
        <v>0</v>
      </c>
    </row>
    <row r="11" spans="2:31">
      <c r="AB11" t="s">
        <v>173</v>
      </c>
      <c r="AC11" s="324">
        <f>●計算表!P199</f>
        <v>5400000</v>
      </c>
      <c r="AD11" s="324">
        <f>●計算表!P200</f>
        <v>0</v>
      </c>
      <c r="AE11" s="324">
        <f t="shared" si="2"/>
        <v>5400000</v>
      </c>
    </row>
    <row r="12" spans="2:31">
      <c r="B12" t="s">
        <v>129</v>
      </c>
      <c r="C12" s="82" t="s">
        <v>472</v>
      </c>
      <c r="D12" s="82">
        <v>0</v>
      </c>
      <c r="E12" s="330">
        <f>'&lt;参考&gt;●現在の業務の総コスト'!T19</f>
        <v>0</v>
      </c>
      <c r="F12" s="330">
        <f t="shared" ref="F12:O12" si="3">E12</f>
        <v>0</v>
      </c>
      <c r="G12" s="330">
        <f t="shared" si="3"/>
        <v>0</v>
      </c>
      <c r="H12" s="330">
        <f t="shared" si="3"/>
        <v>0</v>
      </c>
      <c r="I12" s="330">
        <f t="shared" si="3"/>
        <v>0</v>
      </c>
      <c r="J12" s="330">
        <f t="shared" si="3"/>
        <v>0</v>
      </c>
      <c r="K12" s="330">
        <f t="shared" si="3"/>
        <v>0</v>
      </c>
      <c r="L12" s="330">
        <f t="shared" si="3"/>
        <v>0</v>
      </c>
      <c r="M12" s="330">
        <f t="shared" si="3"/>
        <v>0</v>
      </c>
      <c r="N12" s="330">
        <f t="shared" si="3"/>
        <v>0</v>
      </c>
      <c r="O12" s="330">
        <f t="shared" si="3"/>
        <v>0</v>
      </c>
      <c r="AB12" t="s">
        <v>174</v>
      </c>
      <c r="AC12" s="324">
        <f>●計算表!P259</f>
        <v>360000</v>
      </c>
      <c r="AD12" s="324">
        <f>●計算表!P260</f>
        <v>0</v>
      </c>
      <c r="AE12" s="324">
        <f t="shared" si="2"/>
        <v>360000</v>
      </c>
    </row>
    <row r="13" spans="2:31">
      <c r="C13" s="329" t="s">
        <v>470</v>
      </c>
      <c r="D13" s="82">
        <v>0</v>
      </c>
      <c r="E13" s="359">
        <f>'&lt;参考&gt;●現在の業務の総コスト'!$T$19*(1-E$9)</f>
        <v>0</v>
      </c>
      <c r="F13" s="359">
        <f>'&lt;参考&gt;●現在の業務の総コスト'!$T$19*(1-F$9)</f>
        <v>0</v>
      </c>
      <c r="G13" s="359">
        <f>'&lt;参考&gt;●現在の業務の総コスト'!$T$19*(1-G$9)</f>
        <v>0</v>
      </c>
      <c r="H13" s="359">
        <f>'&lt;参考&gt;●現在の業務の総コスト'!$T$19*(1-H$9)</f>
        <v>0</v>
      </c>
      <c r="I13" s="359">
        <f>'&lt;参考&gt;●現在の業務の総コスト'!$T$19*(1-I$9)</f>
        <v>0</v>
      </c>
      <c r="J13" s="359">
        <f>'&lt;参考&gt;●現在の業務の総コスト'!$T$19*(1-J$9)</f>
        <v>0</v>
      </c>
      <c r="K13" s="359">
        <f>'&lt;参考&gt;●現在の業務の総コスト'!$T$19*(1-K$9)</f>
        <v>0</v>
      </c>
      <c r="L13" s="359">
        <f>'&lt;参考&gt;●現在の業務の総コスト'!$T$19*(1-L$9)</f>
        <v>0</v>
      </c>
      <c r="M13" s="359">
        <f>'&lt;参考&gt;●現在の業務の総コスト'!$T$19*(1-M$9)</f>
        <v>0</v>
      </c>
      <c r="N13" s="359">
        <f>'&lt;参考&gt;●現在の業務の総コスト'!$T$19*(1-N$9)</f>
        <v>0</v>
      </c>
      <c r="O13" s="359">
        <f>'&lt;参考&gt;●現在の業務の総コスト'!$T$19*(1-O$9)</f>
        <v>0</v>
      </c>
      <c r="AB13" t="s">
        <v>557</v>
      </c>
      <c r="AC13" s="324">
        <f>●計算表!P315</f>
        <v>0</v>
      </c>
      <c r="AD13" s="324">
        <f>●計算表!P316</f>
        <v>0</v>
      </c>
      <c r="AE13" s="324">
        <f t="shared" si="2"/>
        <v>0</v>
      </c>
    </row>
    <row r="14" spans="2:31">
      <c r="C14" s="329" t="s">
        <v>647</v>
      </c>
      <c r="D14" s="82">
        <v>0</v>
      </c>
      <c r="E14" s="359">
        <f t="shared" ref="E14:O14" si="4">$AE$9*E$9</f>
        <v>0</v>
      </c>
      <c r="F14" s="359">
        <f t="shared" si="4"/>
        <v>0</v>
      </c>
      <c r="G14" s="359">
        <f t="shared" si="4"/>
        <v>0</v>
      </c>
      <c r="H14" s="359">
        <f t="shared" si="4"/>
        <v>0</v>
      </c>
      <c r="I14" s="359">
        <f t="shared" si="4"/>
        <v>0</v>
      </c>
      <c r="J14" s="359">
        <f t="shared" si="4"/>
        <v>0</v>
      </c>
      <c r="K14" s="359">
        <f t="shared" si="4"/>
        <v>0</v>
      </c>
      <c r="L14" s="359">
        <f t="shared" si="4"/>
        <v>0</v>
      </c>
      <c r="M14" s="359">
        <f t="shared" si="4"/>
        <v>0</v>
      </c>
      <c r="N14" s="359">
        <f t="shared" si="4"/>
        <v>0</v>
      </c>
      <c r="O14" s="359">
        <f t="shared" si="4"/>
        <v>0</v>
      </c>
      <c r="AB14" t="s">
        <v>478</v>
      </c>
      <c r="AC14" s="324">
        <f>●計算表!P372</f>
        <v>0</v>
      </c>
      <c r="AD14" s="324">
        <f>●計算表!P373</f>
        <v>0</v>
      </c>
      <c r="AE14" s="324">
        <f t="shared" si="2"/>
        <v>0</v>
      </c>
    </row>
    <row r="15" spans="2:31">
      <c r="C15" s="82" t="s">
        <v>749</v>
      </c>
      <c r="D15" s="82">
        <v>0</v>
      </c>
      <c r="E15" s="325">
        <f t="shared" ref="E15:O15" si="5">E13+E14</f>
        <v>0</v>
      </c>
      <c r="F15" s="325">
        <f t="shared" si="5"/>
        <v>0</v>
      </c>
      <c r="G15" s="325">
        <f t="shared" si="5"/>
        <v>0</v>
      </c>
      <c r="H15" s="325">
        <f t="shared" si="5"/>
        <v>0</v>
      </c>
      <c r="I15" s="325">
        <f t="shared" si="5"/>
        <v>0</v>
      </c>
      <c r="J15" s="325">
        <f t="shared" si="5"/>
        <v>0</v>
      </c>
      <c r="K15" s="325">
        <f t="shared" si="5"/>
        <v>0</v>
      </c>
      <c r="L15" s="325">
        <f t="shared" si="5"/>
        <v>0</v>
      </c>
      <c r="M15" s="325">
        <f t="shared" si="5"/>
        <v>0</v>
      </c>
      <c r="N15" s="325">
        <f t="shared" si="5"/>
        <v>0</v>
      </c>
      <c r="O15" s="325">
        <f t="shared" si="5"/>
        <v>0</v>
      </c>
      <c r="AB15" t="s">
        <v>487</v>
      </c>
      <c r="AC15">
        <f>●計算表!P383</f>
        <v>0</v>
      </c>
      <c r="AD15" s="324">
        <f>●計算表!P391</f>
        <v>0</v>
      </c>
      <c r="AE15" s="324">
        <f t="shared" si="2"/>
        <v>0</v>
      </c>
    </row>
    <row r="16" spans="2:31">
      <c r="B16" t="s">
        <v>128</v>
      </c>
      <c r="C16" s="82" t="s">
        <v>472</v>
      </c>
      <c r="D16" s="82">
        <v>0</v>
      </c>
      <c r="E16" s="330">
        <f>'&lt;参考&gt;●現在の業務の総コスト'!T21</f>
        <v>0</v>
      </c>
      <c r="F16" s="330">
        <f t="shared" ref="F16:O16" si="6">E16</f>
        <v>0</v>
      </c>
      <c r="G16" s="330">
        <f t="shared" si="6"/>
        <v>0</v>
      </c>
      <c r="H16" s="330">
        <f t="shared" si="6"/>
        <v>0</v>
      </c>
      <c r="I16" s="330">
        <f t="shared" si="6"/>
        <v>0</v>
      </c>
      <c r="J16" s="330">
        <f t="shared" si="6"/>
        <v>0</v>
      </c>
      <c r="K16" s="330">
        <f t="shared" si="6"/>
        <v>0</v>
      </c>
      <c r="L16" s="330">
        <f t="shared" si="6"/>
        <v>0</v>
      </c>
      <c r="M16" s="330">
        <f t="shared" si="6"/>
        <v>0</v>
      </c>
      <c r="N16" s="330">
        <f t="shared" si="6"/>
        <v>0</v>
      </c>
      <c r="O16" s="330">
        <f t="shared" si="6"/>
        <v>0</v>
      </c>
    </row>
    <row r="17" spans="2:61">
      <c r="C17" s="329" t="s">
        <v>470</v>
      </c>
      <c r="D17" s="82">
        <v>0</v>
      </c>
      <c r="E17" s="359">
        <f>'&lt;参考&gt;●現在の業務の総コスト'!$T$21*(1-E$9)</f>
        <v>0</v>
      </c>
      <c r="F17" s="359">
        <f>'&lt;参考&gt;●現在の業務の総コスト'!$T$21*(1-F$9)</f>
        <v>0</v>
      </c>
      <c r="G17" s="359">
        <f>'&lt;参考&gt;●現在の業務の総コスト'!$T$21*(1-G$9)</f>
        <v>0</v>
      </c>
      <c r="H17" s="359">
        <f>'&lt;参考&gt;●現在の業務の総コスト'!$T$21*(1-H$9)</f>
        <v>0</v>
      </c>
      <c r="I17" s="359">
        <f>'&lt;参考&gt;●現在の業務の総コスト'!$T$21*(1-I$9)</f>
        <v>0</v>
      </c>
      <c r="J17" s="359">
        <f>'&lt;参考&gt;●現在の業務の総コスト'!$T$21*(1-J$9)</f>
        <v>0</v>
      </c>
      <c r="K17" s="359">
        <f>'&lt;参考&gt;●現在の業務の総コスト'!$T$21*(1-K$9)</f>
        <v>0</v>
      </c>
      <c r="L17" s="359">
        <f>'&lt;参考&gt;●現在の業務の総コスト'!$T$21*(1-L$9)</f>
        <v>0</v>
      </c>
      <c r="M17" s="359">
        <f>'&lt;参考&gt;●現在の業務の総コスト'!$T$21*(1-M$9)</f>
        <v>0</v>
      </c>
      <c r="N17" s="359">
        <f>'&lt;参考&gt;●現在の業務の総コスト'!$T$21*(1-N$9)</f>
        <v>0</v>
      </c>
      <c r="O17" s="359">
        <f>'&lt;参考&gt;●現在の業務の総コスト'!$T$21*(1-O$9)</f>
        <v>0</v>
      </c>
    </row>
    <row r="18" spans="2:61">
      <c r="C18" s="329" t="s">
        <v>647</v>
      </c>
      <c r="D18" s="82">
        <v>0</v>
      </c>
      <c r="E18" s="359">
        <f t="shared" ref="E18:O18" si="7">$AE$10*E$9</f>
        <v>0</v>
      </c>
      <c r="F18" s="359">
        <f t="shared" si="7"/>
        <v>0</v>
      </c>
      <c r="G18" s="359">
        <f t="shared" si="7"/>
        <v>0</v>
      </c>
      <c r="H18" s="359">
        <f t="shared" si="7"/>
        <v>0</v>
      </c>
      <c r="I18" s="359">
        <f t="shared" si="7"/>
        <v>0</v>
      </c>
      <c r="J18" s="359">
        <f t="shared" si="7"/>
        <v>0</v>
      </c>
      <c r="K18" s="359">
        <f t="shared" si="7"/>
        <v>0</v>
      </c>
      <c r="L18" s="359">
        <f t="shared" si="7"/>
        <v>0</v>
      </c>
      <c r="M18" s="359">
        <f t="shared" si="7"/>
        <v>0</v>
      </c>
      <c r="N18" s="359">
        <f t="shared" si="7"/>
        <v>0</v>
      </c>
      <c r="O18" s="359">
        <f t="shared" si="7"/>
        <v>0</v>
      </c>
    </row>
    <row r="19" spans="2:61">
      <c r="C19" s="82" t="s">
        <v>749</v>
      </c>
      <c r="D19" s="82">
        <v>0</v>
      </c>
      <c r="E19" s="325">
        <f t="shared" ref="E19:O19" si="8">E17+E18</f>
        <v>0</v>
      </c>
      <c r="F19" s="325">
        <f t="shared" si="8"/>
        <v>0</v>
      </c>
      <c r="G19" s="325">
        <f t="shared" si="8"/>
        <v>0</v>
      </c>
      <c r="H19" s="325">
        <f t="shared" si="8"/>
        <v>0</v>
      </c>
      <c r="I19" s="325">
        <f t="shared" si="8"/>
        <v>0</v>
      </c>
      <c r="J19" s="325">
        <f t="shared" si="8"/>
        <v>0</v>
      </c>
      <c r="K19" s="325">
        <f t="shared" si="8"/>
        <v>0</v>
      </c>
      <c r="L19" s="325">
        <f t="shared" si="8"/>
        <v>0</v>
      </c>
      <c r="M19" s="325">
        <f t="shared" si="8"/>
        <v>0</v>
      </c>
      <c r="N19" s="325">
        <f t="shared" si="8"/>
        <v>0</v>
      </c>
      <c r="O19" s="325">
        <f t="shared" si="8"/>
        <v>0</v>
      </c>
    </row>
    <row r="20" spans="2:61">
      <c r="B20" t="s">
        <v>127</v>
      </c>
      <c r="C20" s="82" t="s">
        <v>472</v>
      </c>
      <c r="D20" s="82">
        <v>0</v>
      </c>
      <c r="E20" s="330">
        <f>'&lt;参考&gt;●現在の業務の総コスト'!T23</f>
        <v>7489440</v>
      </c>
      <c r="F20" s="330">
        <f t="shared" ref="F20:O20" si="9">E20</f>
        <v>7489440</v>
      </c>
      <c r="G20" s="330">
        <f t="shared" si="9"/>
        <v>7489440</v>
      </c>
      <c r="H20" s="330">
        <f t="shared" si="9"/>
        <v>7489440</v>
      </c>
      <c r="I20" s="330">
        <f t="shared" si="9"/>
        <v>7489440</v>
      </c>
      <c r="J20" s="330">
        <f t="shared" si="9"/>
        <v>7489440</v>
      </c>
      <c r="K20" s="330">
        <f t="shared" si="9"/>
        <v>7489440</v>
      </c>
      <c r="L20" s="330">
        <f t="shared" si="9"/>
        <v>7489440</v>
      </c>
      <c r="M20" s="330">
        <f t="shared" si="9"/>
        <v>7489440</v>
      </c>
      <c r="N20" s="330">
        <f t="shared" si="9"/>
        <v>7489440</v>
      </c>
      <c r="O20" s="330">
        <f t="shared" si="9"/>
        <v>7489440</v>
      </c>
    </row>
    <row r="21" spans="2:61">
      <c r="C21" s="329" t="s">
        <v>470</v>
      </c>
      <c r="D21" s="82">
        <v>0</v>
      </c>
      <c r="E21" s="359">
        <f>'&lt;参考&gt;●現在の業務の総コスト'!$T$23*(1-E$9)</f>
        <v>7489440</v>
      </c>
      <c r="F21" s="359">
        <f>'&lt;参考&gt;●現在の業務の総コスト'!$T$23*(1-F$9)</f>
        <v>7489440</v>
      </c>
      <c r="G21" s="359">
        <f>'&lt;参考&gt;●現在の業務の総コスト'!$T$23*(1-G$9)</f>
        <v>5167713.5999999996</v>
      </c>
      <c r="H21" s="359">
        <f>'&lt;参考&gt;●現在の業務の総コスト'!$T$23*(1-H$9)</f>
        <v>4493664</v>
      </c>
      <c r="I21" s="359">
        <f>'&lt;参考&gt;●現在の業務の総コスト'!$T$23*(1-I$9)</f>
        <v>3744720</v>
      </c>
      <c r="J21" s="359">
        <f>'&lt;参考&gt;●現在の業務の総コスト'!$T$23*(1-J$9)</f>
        <v>2995776</v>
      </c>
      <c r="K21" s="359">
        <f>'&lt;参考&gt;●現在の業務の総コスト'!$T$23*(1-K$9)</f>
        <v>2995776</v>
      </c>
      <c r="L21" s="359">
        <f>'&lt;参考&gt;●現在の業務の総コスト'!$T$23*(1-L$9)</f>
        <v>2995776</v>
      </c>
      <c r="M21" s="359">
        <f>'&lt;参考&gt;●現在の業務の総コスト'!$T$23*(1-M$9)</f>
        <v>2995776</v>
      </c>
      <c r="N21" s="359">
        <f>'&lt;参考&gt;●現在の業務の総コスト'!$T$23*(1-N$9)</f>
        <v>2995776</v>
      </c>
      <c r="O21" s="359">
        <f>'&lt;参考&gt;●現在の業務の総コスト'!$T$23*(1-O$9)</f>
        <v>2995776</v>
      </c>
    </row>
    <row r="22" spans="2:61">
      <c r="C22" s="329" t="s">
        <v>647</v>
      </c>
      <c r="D22" s="82">
        <v>0</v>
      </c>
      <c r="E22" s="359">
        <f t="shared" ref="E22:O22" si="10">$AE$11*E$9</f>
        <v>0</v>
      </c>
      <c r="F22" s="359">
        <f t="shared" si="10"/>
        <v>0</v>
      </c>
      <c r="G22" s="359">
        <f t="shared" si="10"/>
        <v>1674000</v>
      </c>
      <c r="H22" s="359">
        <f t="shared" si="10"/>
        <v>2160000</v>
      </c>
      <c r="I22" s="359">
        <f t="shared" si="10"/>
        <v>2700000</v>
      </c>
      <c r="J22" s="359">
        <f t="shared" si="10"/>
        <v>3240000</v>
      </c>
      <c r="K22" s="359">
        <f t="shared" si="10"/>
        <v>3240000</v>
      </c>
      <c r="L22" s="359">
        <f t="shared" si="10"/>
        <v>3240000</v>
      </c>
      <c r="M22" s="359">
        <f t="shared" si="10"/>
        <v>3240000</v>
      </c>
      <c r="N22" s="359">
        <f t="shared" si="10"/>
        <v>3240000</v>
      </c>
      <c r="O22" s="359">
        <f t="shared" si="10"/>
        <v>3240000</v>
      </c>
    </row>
    <row r="23" spans="2:61">
      <c r="C23" s="82" t="s">
        <v>749</v>
      </c>
      <c r="D23" s="82">
        <v>0</v>
      </c>
      <c r="E23" s="325">
        <f t="shared" ref="E23:O23" si="11">E21+E22</f>
        <v>7489440</v>
      </c>
      <c r="F23" s="325">
        <f t="shared" si="11"/>
        <v>7489440</v>
      </c>
      <c r="G23" s="325">
        <f t="shared" si="11"/>
        <v>6841713.5999999996</v>
      </c>
      <c r="H23" s="325">
        <f t="shared" si="11"/>
        <v>6653664</v>
      </c>
      <c r="I23" s="325">
        <f t="shared" si="11"/>
        <v>6444720</v>
      </c>
      <c r="J23" s="325">
        <f t="shared" si="11"/>
        <v>6235776</v>
      </c>
      <c r="K23" s="325">
        <f t="shared" si="11"/>
        <v>6235776</v>
      </c>
      <c r="L23" s="325">
        <f t="shared" si="11"/>
        <v>6235776</v>
      </c>
      <c r="M23" s="325">
        <f t="shared" si="11"/>
        <v>6235776</v>
      </c>
      <c r="N23" s="325">
        <f t="shared" si="11"/>
        <v>6235776</v>
      </c>
      <c r="O23" s="325">
        <f t="shared" si="11"/>
        <v>6235776</v>
      </c>
    </row>
    <row r="24" spans="2:61">
      <c r="B24" t="s">
        <v>126</v>
      </c>
      <c r="C24" s="82" t="s">
        <v>472</v>
      </c>
      <c r="D24" s="82">
        <v>0</v>
      </c>
      <c r="E24" s="330">
        <f>'&lt;参考&gt;●現在の業務の総コスト'!T25</f>
        <v>378720</v>
      </c>
      <c r="F24" s="330">
        <f t="shared" ref="F24:O24" si="12">E24</f>
        <v>378720</v>
      </c>
      <c r="G24" s="330">
        <f t="shared" si="12"/>
        <v>378720</v>
      </c>
      <c r="H24" s="330">
        <f t="shared" si="12"/>
        <v>378720</v>
      </c>
      <c r="I24" s="330">
        <f t="shared" si="12"/>
        <v>378720</v>
      </c>
      <c r="J24" s="330">
        <f t="shared" si="12"/>
        <v>378720</v>
      </c>
      <c r="K24" s="330">
        <f t="shared" si="12"/>
        <v>378720</v>
      </c>
      <c r="L24" s="330">
        <f t="shared" si="12"/>
        <v>378720</v>
      </c>
      <c r="M24" s="330">
        <f t="shared" si="12"/>
        <v>378720</v>
      </c>
      <c r="N24" s="330">
        <f t="shared" si="12"/>
        <v>378720</v>
      </c>
      <c r="O24" s="330">
        <f t="shared" si="12"/>
        <v>378720</v>
      </c>
    </row>
    <row r="25" spans="2:61">
      <c r="C25" s="329" t="s">
        <v>470</v>
      </c>
      <c r="D25" s="82">
        <v>0</v>
      </c>
      <c r="E25" s="359">
        <f>'&lt;参考&gt;●現在の業務の総コスト'!$T$25*(1-E$9)</f>
        <v>378720</v>
      </c>
      <c r="F25" s="359">
        <f>'&lt;参考&gt;●現在の業務の総コスト'!$T$25*(1-F$9)</f>
        <v>378720</v>
      </c>
      <c r="G25" s="359">
        <f>'&lt;参考&gt;●現在の業務の総コスト'!$T$25*(1-G$9)</f>
        <v>261316.8</v>
      </c>
      <c r="H25" s="359">
        <f>'&lt;参考&gt;●現在の業務の総コスト'!$T$25*(1-H$9)</f>
        <v>227232</v>
      </c>
      <c r="I25" s="359">
        <f>'&lt;参考&gt;●現在の業務の総コスト'!$T$25*(1-I$9)</f>
        <v>189360</v>
      </c>
      <c r="J25" s="359">
        <f>'&lt;参考&gt;●現在の業務の総コスト'!$T$25*(1-J$9)</f>
        <v>151488</v>
      </c>
      <c r="K25" s="359">
        <f>'&lt;参考&gt;●現在の業務の総コスト'!$T$25*(1-K$9)</f>
        <v>151488</v>
      </c>
      <c r="L25" s="359">
        <f>'&lt;参考&gt;●現在の業務の総コスト'!$T$25*(1-L$9)</f>
        <v>151488</v>
      </c>
      <c r="M25" s="359">
        <f>'&lt;参考&gt;●現在の業務の総コスト'!$T$25*(1-M$9)</f>
        <v>151488</v>
      </c>
      <c r="N25" s="359">
        <f>'&lt;参考&gt;●現在の業務の総コスト'!$T$25*(1-N$9)</f>
        <v>151488</v>
      </c>
      <c r="O25" s="359">
        <f>'&lt;参考&gt;●現在の業務の総コスト'!$T$25*(1-O$9)</f>
        <v>151488</v>
      </c>
      <c r="AC25" s="324"/>
      <c r="AF25" s="324"/>
      <c r="AI25" s="324"/>
      <c r="AL25" s="324"/>
      <c r="AO25" s="324"/>
      <c r="AP25" s="324"/>
      <c r="AQ25" s="324"/>
      <c r="AR25" s="324"/>
      <c r="AS25" s="324"/>
      <c r="AT25" s="324"/>
      <c r="AU25" s="324"/>
    </row>
    <row r="26" spans="2:61">
      <c r="C26" s="329" t="s">
        <v>647</v>
      </c>
      <c r="D26" s="82">
        <v>0</v>
      </c>
      <c r="E26" s="359">
        <f t="shared" ref="E26:O26" si="13">$AE$12*E$9</f>
        <v>0</v>
      </c>
      <c r="F26" s="359">
        <f t="shared" si="13"/>
        <v>0</v>
      </c>
      <c r="G26" s="359">
        <f t="shared" si="13"/>
        <v>111600</v>
      </c>
      <c r="H26" s="359">
        <f t="shared" si="13"/>
        <v>144000</v>
      </c>
      <c r="I26" s="359">
        <f t="shared" si="13"/>
        <v>180000</v>
      </c>
      <c r="J26" s="359">
        <f t="shared" si="13"/>
        <v>216000</v>
      </c>
      <c r="K26" s="359">
        <f t="shared" si="13"/>
        <v>216000</v>
      </c>
      <c r="L26" s="359">
        <f t="shared" si="13"/>
        <v>216000</v>
      </c>
      <c r="M26" s="359">
        <f t="shared" si="13"/>
        <v>216000</v>
      </c>
      <c r="N26" s="359">
        <f t="shared" si="13"/>
        <v>216000</v>
      </c>
      <c r="O26" s="359">
        <f t="shared" si="13"/>
        <v>216000</v>
      </c>
    </row>
    <row r="27" spans="2:61">
      <c r="C27" s="82" t="s">
        <v>749</v>
      </c>
      <c r="D27" s="82">
        <v>0</v>
      </c>
      <c r="E27" s="325">
        <f t="shared" ref="E27:O27" si="14">E25+E26</f>
        <v>378720</v>
      </c>
      <c r="F27" s="325">
        <f t="shared" si="14"/>
        <v>378720</v>
      </c>
      <c r="G27" s="325">
        <f t="shared" si="14"/>
        <v>372916.8</v>
      </c>
      <c r="H27" s="325">
        <f t="shared" si="14"/>
        <v>371232</v>
      </c>
      <c r="I27" s="325">
        <f t="shared" si="14"/>
        <v>369360</v>
      </c>
      <c r="J27" s="325">
        <f t="shared" si="14"/>
        <v>367488</v>
      </c>
      <c r="K27" s="325">
        <f t="shared" si="14"/>
        <v>367488</v>
      </c>
      <c r="L27" s="325">
        <f t="shared" si="14"/>
        <v>367488</v>
      </c>
      <c r="M27" s="325">
        <f t="shared" si="14"/>
        <v>367488</v>
      </c>
      <c r="N27" s="325">
        <f t="shared" si="14"/>
        <v>367488</v>
      </c>
      <c r="O27" s="325">
        <f t="shared" si="14"/>
        <v>367488</v>
      </c>
    </row>
    <row r="28" spans="2:61">
      <c r="B28" t="s">
        <v>125</v>
      </c>
      <c r="C28" s="82" t="s">
        <v>472</v>
      </c>
      <c r="D28" s="82">
        <v>0</v>
      </c>
      <c r="E28" s="324">
        <f>'&lt;参考&gt;●現在の業務の総コスト'!T27</f>
        <v>0</v>
      </c>
      <c r="F28" s="324">
        <f t="shared" ref="F28:O28" si="15">E28</f>
        <v>0</v>
      </c>
      <c r="G28" s="324">
        <f t="shared" si="15"/>
        <v>0</v>
      </c>
      <c r="H28" s="324">
        <f t="shared" si="15"/>
        <v>0</v>
      </c>
      <c r="I28" s="324">
        <f t="shared" si="15"/>
        <v>0</v>
      </c>
      <c r="J28" s="324">
        <f t="shared" si="15"/>
        <v>0</v>
      </c>
      <c r="K28" s="324">
        <f t="shared" si="15"/>
        <v>0</v>
      </c>
      <c r="L28" s="324">
        <f t="shared" si="15"/>
        <v>0</v>
      </c>
      <c r="M28" s="324">
        <f t="shared" si="15"/>
        <v>0</v>
      </c>
      <c r="N28" s="324">
        <f t="shared" si="15"/>
        <v>0</v>
      </c>
      <c r="O28" s="324">
        <f t="shared" si="15"/>
        <v>0</v>
      </c>
    </row>
    <row r="29" spans="2:61">
      <c r="C29" s="329" t="s">
        <v>470</v>
      </c>
      <c r="D29" s="82">
        <v>0</v>
      </c>
      <c r="E29" s="360">
        <f>'&lt;参考&gt;●現在の業務の総コスト'!$T$27*(1-E$10)</f>
        <v>0</v>
      </c>
      <c r="F29" s="360">
        <f>'&lt;参考&gt;●現在の業務の総コスト'!$T$27*(1-F$10)</f>
        <v>0</v>
      </c>
      <c r="G29" s="360">
        <f>'&lt;参考&gt;●現在の業務の総コスト'!$T$27*(1-G$10)</f>
        <v>0</v>
      </c>
      <c r="H29" s="360">
        <f>'&lt;参考&gt;●現在の業務の総コスト'!$T$27*(1-H$10)</f>
        <v>0</v>
      </c>
      <c r="I29" s="360">
        <f>'&lt;参考&gt;●現在の業務の総コスト'!$T$27*(1-I$10)</f>
        <v>0</v>
      </c>
      <c r="J29" s="360">
        <f>'&lt;参考&gt;●現在の業務の総コスト'!$T$27*(1-J$10)</f>
        <v>0</v>
      </c>
      <c r="K29" s="360">
        <f>'&lt;参考&gt;●現在の業務の総コスト'!$T$27*(1-K$10)</f>
        <v>0</v>
      </c>
      <c r="L29" s="360">
        <f>'&lt;参考&gt;●現在の業務の総コスト'!$T$27*(1-L$10)</f>
        <v>0</v>
      </c>
      <c r="M29" s="360">
        <f>'&lt;参考&gt;●現在の業務の総コスト'!$T$27*(1-M$10)</f>
        <v>0</v>
      </c>
      <c r="N29" s="360">
        <f>'&lt;参考&gt;●現在の業務の総コスト'!$T$27*(1-N$10)</f>
        <v>0</v>
      </c>
      <c r="O29" s="360">
        <f>'&lt;参考&gt;●現在の業務の総コスト'!$T$27*(1-O$10)</f>
        <v>0</v>
      </c>
      <c r="AC29" t="s">
        <v>272</v>
      </c>
      <c r="AF29" t="s">
        <v>717</v>
      </c>
      <c r="AI29" t="s">
        <v>592</v>
      </c>
      <c r="AL29" t="s">
        <v>593</v>
      </c>
      <c r="AO29" t="s">
        <v>594</v>
      </c>
      <c r="AR29" t="s">
        <v>595</v>
      </c>
      <c r="AU29" t="s">
        <v>596</v>
      </c>
      <c r="AX29" t="s">
        <v>597</v>
      </c>
      <c r="BA29" t="s">
        <v>598</v>
      </c>
      <c r="BD29" t="s">
        <v>599</v>
      </c>
      <c r="BG29" t="s">
        <v>600</v>
      </c>
    </row>
    <row r="30" spans="2:61">
      <c r="C30" s="329" t="s">
        <v>647</v>
      </c>
      <c r="D30" s="82">
        <v>0</v>
      </c>
      <c r="E30" s="360">
        <f t="shared" ref="E30:O30" si="16">$AE$13*E$10</f>
        <v>0</v>
      </c>
      <c r="F30" s="360">
        <f t="shared" si="16"/>
        <v>0</v>
      </c>
      <c r="G30" s="360">
        <f t="shared" si="16"/>
        <v>0</v>
      </c>
      <c r="H30" s="360">
        <f t="shared" si="16"/>
        <v>0</v>
      </c>
      <c r="I30" s="360">
        <f t="shared" si="16"/>
        <v>0</v>
      </c>
      <c r="J30" s="360">
        <f t="shared" si="16"/>
        <v>0</v>
      </c>
      <c r="K30" s="360">
        <f t="shared" si="16"/>
        <v>0</v>
      </c>
      <c r="L30" s="360">
        <f t="shared" si="16"/>
        <v>0</v>
      </c>
      <c r="M30" s="360">
        <f t="shared" si="16"/>
        <v>0</v>
      </c>
      <c r="N30" s="360">
        <f t="shared" si="16"/>
        <v>0</v>
      </c>
      <c r="O30" s="360">
        <f t="shared" si="16"/>
        <v>0</v>
      </c>
      <c r="AB30" s="324" t="s">
        <v>431</v>
      </c>
      <c r="AC30" s="323">
        <f>E9</f>
        <v>0</v>
      </c>
      <c r="AD30" t="e">
        <f>NA()</f>
        <v>#N/A</v>
      </c>
      <c r="AE30" t="e">
        <f>NA()</f>
        <v>#N/A</v>
      </c>
      <c r="AF30" s="323">
        <f>F9</f>
        <v>0</v>
      </c>
      <c r="AG30" t="e">
        <f>NA()</f>
        <v>#N/A</v>
      </c>
      <c r="AH30" t="e">
        <f>NA()</f>
        <v>#N/A</v>
      </c>
      <c r="AI30" s="323">
        <f>G9</f>
        <v>0.31</v>
      </c>
      <c r="AJ30" t="e">
        <f>NA()</f>
        <v>#N/A</v>
      </c>
      <c r="AK30" t="e">
        <f>NA()</f>
        <v>#N/A</v>
      </c>
      <c r="AL30" s="323">
        <f>H9</f>
        <v>0.4</v>
      </c>
      <c r="AM30" t="e">
        <f>NA()</f>
        <v>#N/A</v>
      </c>
      <c r="AN30" t="e">
        <f>NA()</f>
        <v>#N/A</v>
      </c>
      <c r="AO30" s="323">
        <f>I9</f>
        <v>0.5</v>
      </c>
      <c r="AP30" t="e">
        <f>NA()</f>
        <v>#N/A</v>
      </c>
      <c r="AQ30" t="e">
        <f>NA()</f>
        <v>#N/A</v>
      </c>
      <c r="AR30" s="323">
        <f>J9</f>
        <v>0.6</v>
      </c>
      <c r="AS30" t="e">
        <f>NA()</f>
        <v>#N/A</v>
      </c>
      <c r="AT30" t="e">
        <f>NA()</f>
        <v>#N/A</v>
      </c>
      <c r="AU30" s="323">
        <f>K9</f>
        <v>0.6</v>
      </c>
      <c r="AV30" t="e">
        <f>NA()</f>
        <v>#N/A</v>
      </c>
      <c r="AW30" t="e">
        <f>NA()</f>
        <v>#N/A</v>
      </c>
      <c r="AX30" s="323">
        <f>L9</f>
        <v>0.6</v>
      </c>
      <c r="AY30" t="e">
        <f>NA()</f>
        <v>#N/A</v>
      </c>
      <c r="AZ30" t="e">
        <f>NA()</f>
        <v>#N/A</v>
      </c>
      <c r="BA30" s="323">
        <f>M9</f>
        <v>0.6</v>
      </c>
      <c r="BB30" t="e">
        <f>NA()</f>
        <v>#N/A</v>
      </c>
      <c r="BC30" t="e">
        <f>NA()</f>
        <v>#N/A</v>
      </c>
      <c r="BD30" s="323">
        <f>N9</f>
        <v>0.6</v>
      </c>
      <c r="BE30" t="e">
        <f>NA()</f>
        <v>#N/A</v>
      </c>
      <c r="BF30" t="e">
        <f>NA()</f>
        <v>#N/A</v>
      </c>
      <c r="BG30" s="323">
        <f>O9</f>
        <v>0.6</v>
      </c>
      <c r="BH30" t="e">
        <f>NA()</f>
        <v>#N/A</v>
      </c>
      <c r="BI30" t="e">
        <f>NA()</f>
        <v>#N/A</v>
      </c>
    </row>
    <row r="31" spans="2:61">
      <c r="C31" s="82" t="s">
        <v>749</v>
      </c>
      <c r="D31" s="82">
        <v>0</v>
      </c>
      <c r="E31" s="325">
        <f t="shared" ref="E31:O31" si="17">E29+E30</f>
        <v>0</v>
      </c>
      <c r="F31" s="325">
        <f t="shared" si="17"/>
        <v>0</v>
      </c>
      <c r="G31" s="325">
        <f t="shared" si="17"/>
        <v>0</v>
      </c>
      <c r="H31" s="325">
        <f t="shared" si="17"/>
        <v>0</v>
      </c>
      <c r="I31" s="325">
        <f t="shared" si="17"/>
        <v>0</v>
      </c>
      <c r="J31" s="325">
        <f t="shared" si="17"/>
        <v>0</v>
      </c>
      <c r="K31" s="325">
        <f t="shared" si="17"/>
        <v>0</v>
      </c>
      <c r="L31" s="325">
        <f t="shared" si="17"/>
        <v>0</v>
      </c>
      <c r="M31" s="325">
        <f t="shared" si="17"/>
        <v>0</v>
      </c>
      <c r="N31" s="325">
        <f t="shared" si="17"/>
        <v>0</v>
      </c>
      <c r="O31" s="325">
        <f t="shared" si="17"/>
        <v>0</v>
      </c>
      <c r="AB31" t="s">
        <v>432</v>
      </c>
      <c r="AC31" s="323">
        <f>E10</f>
        <v>0</v>
      </c>
      <c r="AD31" t="e">
        <f>NA()</f>
        <v>#N/A</v>
      </c>
      <c r="AE31" t="e">
        <f>NA()</f>
        <v>#N/A</v>
      </c>
      <c r="AF31" s="323">
        <f>F10</f>
        <v>0</v>
      </c>
      <c r="AG31" t="e">
        <f>NA()</f>
        <v>#N/A</v>
      </c>
      <c r="AH31" t="e">
        <f>NA()</f>
        <v>#N/A</v>
      </c>
      <c r="AI31" s="323">
        <f>G10</f>
        <v>0</v>
      </c>
      <c r="AJ31" t="e">
        <f>NA()</f>
        <v>#N/A</v>
      </c>
      <c r="AK31" t="e">
        <f>NA()</f>
        <v>#N/A</v>
      </c>
      <c r="AL31" s="323">
        <f>H10</f>
        <v>0</v>
      </c>
      <c r="AM31" t="e">
        <f>NA()</f>
        <v>#N/A</v>
      </c>
      <c r="AN31" t="e">
        <f>NA()</f>
        <v>#N/A</v>
      </c>
      <c r="AO31" s="323">
        <f>I10</f>
        <v>0</v>
      </c>
      <c r="AP31" t="e">
        <f>NA()</f>
        <v>#N/A</v>
      </c>
      <c r="AQ31" t="e">
        <f>NA()</f>
        <v>#N/A</v>
      </c>
      <c r="AR31" s="323">
        <f>J10</f>
        <v>0</v>
      </c>
      <c r="AS31" t="e">
        <f>NA()</f>
        <v>#N/A</v>
      </c>
      <c r="AT31" t="e">
        <f>NA()</f>
        <v>#N/A</v>
      </c>
      <c r="AU31" s="323">
        <f>K10</f>
        <v>0</v>
      </c>
      <c r="AV31" t="e">
        <f>NA()</f>
        <v>#N/A</v>
      </c>
      <c r="AW31" t="e">
        <f>NA()</f>
        <v>#N/A</v>
      </c>
      <c r="AX31" s="323">
        <f>L10</f>
        <v>0</v>
      </c>
      <c r="AY31" t="e">
        <f>NA()</f>
        <v>#N/A</v>
      </c>
      <c r="AZ31" t="e">
        <f>NA()</f>
        <v>#N/A</v>
      </c>
      <c r="BA31" s="323">
        <f>M10</f>
        <v>0</v>
      </c>
      <c r="BB31" t="e">
        <f>NA()</f>
        <v>#N/A</v>
      </c>
      <c r="BC31" t="e">
        <f>NA()</f>
        <v>#N/A</v>
      </c>
      <c r="BD31" s="323">
        <f>N10</f>
        <v>0</v>
      </c>
      <c r="BE31" t="e">
        <f>NA()</f>
        <v>#N/A</v>
      </c>
      <c r="BF31" t="e">
        <f>NA()</f>
        <v>#N/A</v>
      </c>
      <c r="BG31" s="323">
        <f>O10</f>
        <v>0</v>
      </c>
      <c r="BH31" t="e">
        <f>NA()</f>
        <v>#N/A</v>
      </c>
      <c r="BI31" t="e">
        <f>NA()</f>
        <v>#N/A</v>
      </c>
    </row>
    <row r="32" spans="2:61">
      <c r="B32" t="s">
        <v>124</v>
      </c>
      <c r="C32" s="82" t="s">
        <v>472</v>
      </c>
      <c r="D32" s="82">
        <v>0</v>
      </c>
      <c r="E32" s="324">
        <f>'&lt;参考&gt;●現在の業務の総コスト'!T29</f>
        <v>0</v>
      </c>
      <c r="F32" s="324">
        <f t="shared" ref="F32:O32" si="18">E32</f>
        <v>0</v>
      </c>
      <c r="G32" s="324">
        <f t="shared" si="18"/>
        <v>0</v>
      </c>
      <c r="H32" s="324">
        <f t="shared" si="18"/>
        <v>0</v>
      </c>
      <c r="I32" s="324">
        <f t="shared" si="18"/>
        <v>0</v>
      </c>
      <c r="J32" s="324">
        <f t="shared" si="18"/>
        <v>0</v>
      </c>
      <c r="K32" s="324">
        <f t="shared" si="18"/>
        <v>0</v>
      </c>
      <c r="L32" s="324">
        <f t="shared" si="18"/>
        <v>0</v>
      </c>
      <c r="M32" s="324">
        <f t="shared" si="18"/>
        <v>0</v>
      </c>
      <c r="N32" s="324">
        <f t="shared" si="18"/>
        <v>0</v>
      </c>
      <c r="O32" s="324">
        <f t="shared" si="18"/>
        <v>0</v>
      </c>
      <c r="AB32" s="324"/>
      <c r="AC32" s="324">
        <f>E12*●ｼﾐｭﾚｰｼｮﾝ結果!G$6</f>
        <v>0</v>
      </c>
      <c r="AD32" s="324"/>
      <c r="AE32" s="324"/>
      <c r="AF32" s="324">
        <f>F12*●ｼﾐｭﾚｰｼｮﾝ結果!H$6</f>
        <v>0</v>
      </c>
      <c r="AG32" s="324"/>
      <c r="AH32" s="324"/>
      <c r="AI32" s="324">
        <f>G12*●ｼﾐｭﾚｰｼｮﾝ結果!I$6</f>
        <v>0</v>
      </c>
      <c r="AJ32" s="324"/>
      <c r="AK32" s="324"/>
      <c r="AL32" s="324">
        <f>H12*●ｼﾐｭﾚｰｼｮﾝ結果!J$6</f>
        <v>0</v>
      </c>
      <c r="AM32" s="324"/>
      <c r="AN32" s="324"/>
      <c r="AO32" s="324">
        <f>I12*●ｼﾐｭﾚｰｼｮﾝ結果!K$6</f>
        <v>0</v>
      </c>
      <c r="AP32" s="324"/>
      <c r="AQ32" s="324"/>
      <c r="AR32" s="324">
        <f>J12*●ｼﾐｭﾚｰｼｮﾝ結果!L$6</f>
        <v>0</v>
      </c>
      <c r="AS32" s="324"/>
      <c r="AT32" s="324"/>
      <c r="AU32" s="324">
        <f>K12*●ｼﾐｭﾚｰｼｮﾝ結果!M$6</f>
        <v>0</v>
      </c>
      <c r="AV32" s="324"/>
      <c r="AW32" s="324"/>
      <c r="AX32" s="324">
        <f>L12*●ｼﾐｭﾚｰｼｮﾝ結果!N$6</f>
        <v>0</v>
      </c>
      <c r="AY32" s="324"/>
      <c r="AZ32" s="324"/>
      <c r="BA32" s="324">
        <f>M12*●ｼﾐｭﾚｰｼｮﾝ結果!O$6</f>
        <v>0</v>
      </c>
      <c r="BB32" s="324"/>
      <c r="BC32" s="324"/>
      <c r="BD32" s="324">
        <f>N12*●ｼﾐｭﾚｰｼｮﾝ結果!P$6</f>
        <v>0</v>
      </c>
      <c r="BE32" s="324"/>
      <c r="BF32" s="324"/>
      <c r="BG32" s="324">
        <f>O12*●ｼﾐｭﾚｰｼｮﾝ結果!Q$6</f>
        <v>0</v>
      </c>
      <c r="BH32" s="324"/>
      <c r="BI32" s="324"/>
    </row>
    <row r="33" spans="2:61">
      <c r="C33" s="329" t="s">
        <v>470</v>
      </c>
      <c r="D33" s="82">
        <v>0</v>
      </c>
      <c r="E33" s="360">
        <f>'&lt;参考&gt;●現在の業務の総コスト'!$T$29*(1-E$10)</f>
        <v>0</v>
      </c>
      <c r="F33" s="360">
        <f>'&lt;参考&gt;●現在の業務の総コスト'!$T$29*(1-F$10)</f>
        <v>0</v>
      </c>
      <c r="G33" s="360">
        <f>'&lt;参考&gt;●現在の業務の総コスト'!$T$29*(1-G$10)</f>
        <v>0</v>
      </c>
      <c r="H33" s="360">
        <f>'&lt;参考&gt;●現在の業務の総コスト'!$T$29*(1-H$10)</f>
        <v>0</v>
      </c>
      <c r="I33" s="360">
        <f>'&lt;参考&gt;●現在の業務の総コスト'!$T$29*(1-I$10)</f>
        <v>0</v>
      </c>
      <c r="J33" s="360">
        <f>'&lt;参考&gt;●現在の業務の総コスト'!$T$29*(1-J$10)</f>
        <v>0</v>
      </c>
      <c r="K33" s="360">
        <f>'&lt;参考&gt;●現在の業務の総コスト'!$T$29*(1-K$10)</f>
        <v>0</v>
      </c>
      <c r="L33" s="360">
        <f>'&lt;参考&gt;●現在の業務の総コスト'!$T$29*(1-L$10)</f>
        <v>0</v>
      </c>
      <c r="M33" s="360">
        <f>'&lt;参考&gt;●現在の業務の総コスト'!$T$29*(1-M$10)</f>
        <v>0</v>
      </c>
      <c r="N33" s="360">
        <f>'&lt;参考&gt;●現在の業務の総コスト'!$T$29*(1-N$10)</f>
        <v>0</v>
      </c>
      <c r="O33" s="360">
        <f>'&lt;参考&gt;●現在の業務の総コスト'!$T$29*(1-O$10)</f>
        <v>0</v>
      </c>
      <c r="AB33" s="324" t="str">
        <f>B12</f>
        <v>購買見積依頼</v>
      </c>
      <c r="AC33" s="324"/>
      <c r="AD33" s="324">
        <f>E15*●ｼﾐｭﾚｰｼｮﾝ結果!G$6</f>
        <v>0</v>
      </c>
      <c r="AE33" s="324"/>
      <c r="AF33" s="324"/>
      <c r="AG33" s="324">
        <f>F15*●ｼﾐｭﾚｰｼｮﾝ結果!H$6</f>
        <v>0</v>
      </c>
      <c r="AH33" s="324"/>
      <c r="AI33" s="324"/>
      <c r="AJ33" s="324">
        <f>G15*●ｼﾐｭﾚｰｼｮﾝ結果!I$6</f>
        <v>0</v>
      </c>
      <c r="AK33" s="324"/>
      <c r="AL33" s="324"/>
      <c r="AM33" s="324">
        <f>H15*●ｼﾐｭﾚｰｼｮﾝ結果!J$6</f>
        <v>0</v>
      </c>
      <c r="AN33" s="324"/>
      <c r="AO33" s="324"/>
      <c r="AP33" s="324">
        <f>I15*●ｼﾐｭﾚｰｼｮﾝ結果!K$6</f>
        <v>0</v>
      </c>
      <c r="AQ33" s="324"/>
      <c r="AR33" s="324"/>
      <c r="AS33" s="324">
        <f>J15*●ｼﾐｭﾚｰｼｮﾝ結果!L$6</f>
        <v>0</v>
      </c>
      <c r="AT33" s="324"/>
      <c r="AU33" s="324"/>
      <c r="AV33" s="324">
        <f>K15*●ｼﾐｭﾚｰｼｮﾝ結果!M$6</f>
        <v>0</v>
      </c>
      <c r="AW33" s="324"/>
      <c r="AX33" s="324"/>
      <c r="AY33" s="324">
        <f>L15*●ｼﾐｭﾚｰｼｮﾝ結果!N$6</f>
        <v>0</v>
      </c>
      <c r="AZ33" s="324"/>
      <c r="BA33" s="324"/>
      <c r="BB33" s="324">
        <f>M15*●ｼﾐｭﾚｰｼｮﾝ結果!O$6</f>
        <v>0</v>
      </c>
      <c r="BC33" s="324"/>
      <c r="BD33" s="324"/>
      <c r="BE33" s="324">
        <f>N15*●ｼﾐｭﾚｰｼｮﾝ結果!P$6</f>
        <v>0</v>
      </c>
      <c r="BF33" s="324"/>
      <c r="BG33" s="324"/>
      <c r="BH33" s="324">
        <f>O15*●ｼﾐｭﾚｰｼｮﾝ結果!Q$6</f>
        <v>0</v>
      </c>
    </row>
    <row r="34" spans="2:61">
      <c r="C34" s="329" t="s">
        <v>647</v>
      </c>
      <c r="D34" s="82">
        <v>0</v>
      </c>
      <c r="E34" s="360">
        <f t="shared" ref="E34:O34" si="19">$AE$14*E$10</f>
        <v>0</v>
      </c>
      <c r="F34" s="360">
        <f t="shared" si="19"/>
        <v>0</v>
      </c>
      <c r="G34" s="360">
        <f t="shared" si="19"/>
        <v>0</v>
      </c>
      <c r="H34" s="360">
        <f t="shared" si="19"/>
        <v>0</v>
      </c>
      <c r="I34" s="360">
        <f t="shared" si="19"/>
        <v>0</v>
      </c>
      <c r="J34" s="360">
        <f t="shared" si="19"/>
        <v>0</v>
      </c>
      <c r="K34" s="360">
        <f t="shared" si="19"/>
        <v>0</v>
      </c>
      <c r="L34" s="360">
        <f t="shared" si="19"/>
        <v>0</v>
      </c>
      <c r="M34" s="360">
        <f t="shared" si="19"/>
        <v>0</v>
      </c>
      <c r="N34" s="360">
        <f t="shared" si="19"/>
        <v>0</v>
      </c>
      <c r="O34" s="360">
        <f t="shared" si="19"/>
        <v>0</v>
      </c>
      <c r="AC34" s="324">
        <f>E16*●ｼﾐｭﾚｰｼｮﾝ結果!G$6</f>
        <v>0</v>
      </c>
      <c r="AF34" s="324">
        <f>F16*●ｼﾐｭﾚｰｼｮﾝ結果!H$6</f>
        <v>0</v>
      </c>
      <c r="AI34" s="324">
        <f>G16*●ｼﾐｭﾚｰｼｮﾝ結果!I$6</f>
        <v>0</v>
      </c>
      <c r="AL34" s="324">
        <f>H16*●ｼﾐｭﾚｰｼｮﾝ結果!J$6</f>
        <v>0</v>
      </c>
      <c r="AO34" s="324">
        <f>I16*●ｼﾐｭﾚｰｼｮﾝ結果!K$6</f>
        <v>0</v>
      </c>
      <c r="AR34" s="324">
        <f>J16*●ｼﾐｭﾚｰｼｮﾝ結果!L$6</f>
        <v>0</v>
      </c>
      <c r="AU34" s="324">
        <f>K16*●ｼﾐｭﾚｰｼｮﾝ結果!M$6</f>
        <v>0</v>
      </c>
      <c r="AX34" s="324">
        <f>L16*●ｼﾐｭﾚｰｼｮﾝ結果!N$6</f>
        <v>0</v>
      </c>
      <c r="BA34" s="324">
        <f>M16*●ｼﾐｭﾚｰｼｮﾝ結果!O$6</f>
        <v>0</v>
      </c>
      <c r="BD34" s="324">
        <f>N16*●ｼﾐｭﾚｰｼｮﾝ結果!P$6</f>
        <v>0</v>
      </c>
      <c r="BG34" s="324">
        <f>O16*●ｼﾐｭﾚｰｼｮﾝ結果!Q$6</f>
        <v>0</v>
      </c>
    </row>
    <row r="35" spans="2:61">
      <c r="C35" s="82" t="s">
        <v>749</v>
      </c>
      <c r="D35" s="82">
        <v>0</v>
      </c>
      <c r="E35" s="325">
        <f t="shared" ref="E35:O35" si="20">E33+E34</f>
        <v>0</v>
      </c>
      <c r="F35" s="325">
        <f t="shared" si="20"/>
        <v>0</v>
      </c>
      <c r="G35" s="325">
        <f t="shared" si="20"/>
        <v>0</v>
      </c>
      <c r="H35" s="325">
        <f t="shared" si="20"/>
        <v>0</v>
      </c>
      <c r="I35" s="325">
        <f t="shared" si="20"/>
        <v>0</v>
      </c>
      <c r="J35" s="325">
        <f t="shared" si="20"/>
        <v>0</v>
      </c>
      <c r="K35" s="325">
        <f t="shared" si="20"/>
        <v>0</v>
      </c>
      <c r="L35" s="325">
        <f t="shared" si="20"/>
        <v>0</v>
      </c>
      <c r="M35" s="325">
        <f t="shared" si="20"/>
        <v>0</v>
      </c>
      <c r="N35" s="325">
        <f t="shared" si="20"/>
        <v>0</v>
      </c>
      <c r="O35" s="325">
        <f t="shared" si="20"/>
        <v>0</v>
      </c>
      <c r="AB35" s="324" t="str">
        <f>B16</f>
        <v>購買見積回答・見積比較</v>
      </c>
      <c r="AC35" s="324"/>
      <c r="AD35" s="324">
        <f>E19*●ｼﾐｭﾚｰｼｮﾝ結果!G$6</f>
        <v>0</v>
      </c>
      <c r="AE35" s="324"/>
      <c r="AF35" s="324"/>
      <c r="AG35" s="324">
        <f>F19*●ｼﾐｭﾚｰｼｮﾝ結果!H$6</f>
        <v>0</v>
      </c>
      <c r="AH35" s="324"/>
      <c r="AI35" s="324"/>
      <c r="AJ35" s="324">
        <f>G19*●ｼﾐｭﾚｰｼｮﾝ結果!I$6</f>
        <v>0</v>
      </c>
      <c r="AK35" s="324"/>
      <c r="AL35" s="324"/>
      <c r="AM35" s="324">
        <f>H19*●ｼﾐｭﾚｰｼｮﾝ結果!J$6</f>
        <v>0</v>
      </c>
      <c r="AN35" s="324"/>
      <c r="AO35" s="324"/>
      <c r="AP35" s="324">
        <f>I19*●ｼﾐｭﾚｰｼｮﾝ結果!K$6</f>
        <v>0</v>
      </c>
      <c r="AQ35" s="324"/>
      <c r="AR35" s="324"/>
      <c r="AS35" s="324">
        <f>J19*●ｼﾐｭﾚｰｼｮﾝ結果!L$6</f>
        <v>0</v>
      </c>
      <c r="AT35" s="324"/>
      <c r="AU35" s="324"/>
      <c r="AV35" s="324">
        <f>K19*●ｼﾐｭﾚｰｼｮﾝ結果!M$6</f>
        <v>0</v>
      </c>
      <c r="AW35" s="324"/>
      <c r="AX35" s="324"/>
      <c r="AY35" s="324">
        <f>L19*●ｼﾐｭﾚｰｼｮﾝ結果!N$6</f>
        <v>0</v>
      </c>
      <c r="AZ35" s="324"/>
      <c r="BA35" s="324"/>
      <c r="BB35" s="324">
        <f>M19*●ｼﾐｭﾚｰｼｮﾝ結果!O$6</f>
        <v>0</v>
      </c>
      <c r="BC35" s="324"/>
      <c r="BD35" s="324"/>
      <c r="BE35" s="324">
        <f>N19*●ｼﾐｭﾚｰｼｮﾝ結果!P$6</f>
        <v>0</v>
      </c>
      <c r="BF35" s="324"/>
      <c r="BG35" s="324"/>
      <c r="BH35" s="324">
        <f>O19*●ｼﾐｭﾚｰｼｮﾝ結果!Q$6</f>
        <v>0</v>
      </c>
      <c r="BI35" s="324"/>
    </row>
    <row r="36" spans="2:61">
      <c r="B36" t="s">
        <v>487</v>
      </c>
      <c r="C36" s="82" t="s">
        <v>472</v>
      </c>
      <c r="D36" s="82">
        <v>0</v>
      </c>
      <c r="E36" s="325">
        <f>'&lt;参考&gt;●現在の業務の総コスト'!T31</f>
        <v>134940</v>
      </c>
      <c r="F36" s="325">
        <f t="shared" ref="F36:O36" si="21">E36</f>
        <v>134940</v>
      </c>
      <c r="G36" s="325">
        <f t="shared" si="21"/>
        <v>134940</v>
      </c>
      <c r="H36" s="325">
        <f t="shared" si="21"/>
        <v>134940</v>
      </c>
      <c r="I36" s="325">
        <f t="shared" si="21"/>
        <v>134940</v>
      </c>
      <c r="J36" s="325">
        <f t="shared" si="21"/>
        <v>134940</v>
      </c>
      <c r="K36" s="325">
        <f t="shared" si="21"/>
        <v>134940</v>
      </c>
      <c r="L36" s="325">
        <f t="shared" si="21"/>
        <v>134940</v>
      </c>
      <c r="M36" s="325">
        <f t="shared" si="21"/>
        <v>134940</v>
      </c>
      <c r="N36" s="325">
        <f t="shared" si="21"/>
        <v>134940</v>
      </c>
      <c r="O36" s="325">
        <f t="shared" si="21"/>
        <v>134940</v>
      </c>
      <c r="AB36" s="324"/>
      <c r="AC36" s="324">
        <f>E20*●ｼﾐｭﾚｰｼｮﾝ結果!G$6</f>
        <v>7489440</v>
      </c>
      <c r="AF36" s="324">
        <f>F20*●ｼﾐｭﾚｰｼｮﾝ結果!H$6</f>
        <v>7489440</v>
      </c>
      <c r="AI36" s="324">
        <f>G20*●ｼﾐｭﾚｰｼｮﾝ結果!I$6</f>
        <v>7489440</v>
      </c>
      <c r="AL36" s="324">
        <f>H20*●ｼﾐｭﾚｰｼｮﾝ結果!J$6</f>
        <v>7489440</v>
      </c>
      <c r="AO36" s="324">
        <f>I20*●ｼﾐｭﾚｰｼｮﾝ結果!K$6</f>
        <v>7489440</v>
      </c>
      <c r="AR36" s="324">
        <f>J20*●ｼﾐｭﾚｰｼｮﾝ結果!L$6</f>
        <v>7489440</v>
      </c>
      <c r="AU36" s="324">
        <f>K20*●ｼﾐｭﾚｰｼｮﾝ結果!M$6</f>
        <v>7489440</v>
      </c>
      <c r="AX36" s="324">
        <f>L20*●ｼﾐｭﾚｰｼｮﾝ結果!N$6</f>
        <v>7489440</v>
      </c>
      <c r="BA36" s="324">
        <f>M20*●ｼﾐｭﾚｰｼｮﾝ結果!O$6</f>
        <v>7489440</v>
      </c>
      <c r="BD36" s="324">
        <f>N20*●ｼﾐｭﾚｰｼｮﾝ結果!P$6</f>
        <v>7489440</v>
      </c>
      <c r="BG36" s="324">
        <f>O20*●ｼﾐｭﾚｰｼｮﾝ結果!Q$6</f>
        <v>7489440</v>
      </c>
    </row>
    <row r="37" spans="2:61">
      <c r="C37" s="82" t="s">
        <v>749</v>
      </c>
      <c r="D37" s="378"/>
      <c r="E37" s="379">
        <f>'&lt;参考&gt;●現在の業務の総コスト'!$T$31*(1-E$9)</f>
        <v>134940</v>
      </c>
      <c r="F37" s="379">
        <f>'&lt;参考&gt;●現在の業務の総コスト'!$T$31*(1-F$9)</f>
        <v>134940</v>
      </c>
      <c r="G37" s="379">
        <f>'&lt;参考&gt;●現在の業務の総コスト'!$T$31*(1-G$9)</f>
        <v>93108.599999999991</v>
      </c>
      <c r="H37" s="379">
        <f>'&lt;参考&gt;●現在の業務の総コスト'!$T$31*(1-H$9)</f>
        <v>80964</v>
      </c>
      <c r="I37" s="379">
        <f>'&lt;参考&gt;●現在の業務の総コスト'!$T$31*(1-I$9)</f>
        <v>67470</v>
      </c>
      <c r="J37" s="379">
        <f>'&lt;参考&gt;●現在の業務の総コスト'!$T$31*(1-J$9)</f>
        <v>53976</v>
      </c>
      <c r="K37" s="379">
        <f>'&lt;参考&gt;●現在の業務の総コスト'!$T$31*(1-K$9)</f>
        <v>53976</v>
      </c>
      <c r="L37" s="379">
        <f>'&lt;参考&gt;●現在の業務の総コスト'!$T$31*(1-L$9)</f>
        <v>53976</v>
      </c>
      <c r="M37" s="379">
        <f>'&lt;参考&gt;●現在の業務の総コスト'!$T$31*(1-M$9)</f>
        <v>53976</v>
      </c>
      <c r="N37" s="379">
        <f>'&lt;参考&gt;●現在の業務の総コスト'!$T$31*(1-N$9)</f>
        <v>53976</v>
      </c>
      <c r="O37" s="379">
        <f>'&lt;参考&gt;●現在の業務の総コスト'!$T$31*(1-O$9)</f>
        <v>53976</v>
      </c>
      <c r="AB37" s="324" t="str">
        <f>B20</f>
        <v>契約（注文書の発行）</v>
      </c>
      <c r="AD37" s="324">
        <f>E23*●ｼﾐｭﾚｰｼｮﾝ結果!G$6</f>
        <v>7489440</v>
      </c>
      <c r="AE37" s="324"/>
      <c r="AG37" s="324">
        <f>F23*●ｼﾐｭﾚｰｼｮﾝ結果!H$6</f>
        <v>7489440</v>
      </c>
      <c r="AH37" s="324"/>
      <c r="AJ37" s="324">
        <f>G23*●ｼﾐｭﾚｰｼｮﾝ結果!I$6</f>
        <v>6841713.5999999996</v>
      </c>
      <c r="AK37" s="324"/>
      <c r="AM37" s="324">
        <f>H23*●ｼﾐｭﾚｰｼｮﾝ結果!J$6</f>
        <v>6653664</v>
      </c>
      <c r="AN37" s="324"/>
      <c r="AP37" s="324">
        <f>I23*●ｼﾐｭﾚｰｼｮﾝ結果!K$6</f>
        <v>6444720</v>
      </c>
      <c r="AQ37" s="324"/>
      <c r="AS37" s="324">
        <f>J23*●ｼﾐｭﾚｰｼｮﾝ結果!L$6</f>
        <v>6235776</v>
      </c>
      <c r="AT37" s="324"/>
      <c r="AV37" s="324">
        <f>K23*●ｼﾐｭﾚｰｼｮﾝ結果!M$6</f>
        <v>6235776</v>
      </c>
      <c r="AW37" s="324"/>
      <c r="AY37" s="324">
        <f>L23*●ｼﾐｭﾚｰｼｮﾝ結果!N$6</f>
        <v>6235776</v>
      </c>
      <c r="AZ37" s="324"/>
      <c r="BB37" s="324">
        <f>M23*●ｼﾐｭﾚｰｼｮﾝ結果!O$6</f>
        <v>6235776</v>
      </c>
      <c r="BC37" s="324"/>
      <c r="BE37" s="324">
        <f>N23*●ｼﾐｭﾚｰｼｮﾝ結果!P$6</f>
        <v>6235776</v>
      </c>
      <c r="BF37" s="324"/>
      <c r="BH37" s="324">
        <f>O23*●ｼﾐｭﾚｰｼｮﾝ結果!Q$6</f>
        <v>6235776</v>
      </c>
    </row>
    <row r="38" spans="2:61">
      <c r="D38" s="82"/>
      <c r="AB38" s="324"/>
      <c r="AC38" s="324">
        <f>E24*●ｼﾐｭﾚｰｼｮﾝ結果!G$6</f>
        <v>378720</v>
      </c>
      <c r="AF38" s="324">
        <f>F24*●ｼﾐｭﾚｰｼｮﾝ結果!H$6</f>
        <v>378720</v>
      </c>
      <c r="AI38" s="324">
        <f>G24*●ｼﾐｭﾚｰｼｮﾝ結果!I$6</f>
        <v>378720</v>
      </c>
      <c r="AL38" s="324">
        <f>H24*●ｼﾐｭﾚｰｼｮﾝ結果!J$6</f>
        <v>378720</v>
      </c>
      <c r="AO38" s="324">
        <f>I24*●ｼﾐｭﾚｰｼｮﾝ結果!K$6</f>
        <v>378720</v>
      </c>
      <c r="AR38" s="324">
        <f>J24*●ｼﾐｭﾚｰｼｮﾝ結果!L$6</f>
        <v>378720</v>
      </c>
      <c r="AU38" s="324">
        <f>K24*●ｼﾐｭﾚｰｼｮﾝ結果!M$6</f>
        <v>378720</v>
      </c>
      <c r="AX38" s="324">
        <f>L24*●ｼﾐｭﾚｰｼｮﾝ結果!N$6</f>
        <v>378720</v>
      </c>
      <c r="BA38" s="324">
        <f>M24*●ｼﾐｭﾚｰｼｮﾝ結果!O$6</f>
        <v>378720</v>
      </c>
      <c r="BD38" s="324">
        <f>N24*●ｼﾐｭﾚｰｼｮﾝ結果!P$6</f>
        <v>378720</v>
      </c>
      <c r="BG38" s="324">
        <f>O24*●ｼﾐｭﾚｰｼｮﾝ結果!Q$6</f>
        <v>378720</v>
      </c>
    </row>
    <row r="39" spans="2:61">
      <c r="B39" t="s">
        <v>750</v>
      </c>
      <c r="C39" s="82" t="s">
        <v>472</v>
      </c>
      <c r="D39" s="82">
        <v>0</v>
      </c>
      <c r="E39" s="324">
        <f t="shared" ref="E39:O39" ca="1" si="22">SUMIF($C$12:$N$37,"導入前年間費用",E12:E37)</f>
        <v>8003100</v>
      </c>
      <c r="F39" s="324">
        <f t="shared" ca="1" si="22"/>
        <v>8003100</v>
      </c>
      <c r="G39" s="324">
        <f t="shared" ca="1" si="22"/>
        <v>8003100</v>
      </c>
      <c r="H39" s="324">
        <f t="shared" ca="1" si="22"/>
        <v>8003100</v>
      </c>
      <c r="I39" s="324">
        <f t="shared" ca="1" si="22"/>
        <v>8003100</v>
      </c>
      <c r="J39" s="324">
        <f t="shared" ca="1" si="22"/>
        <v>8003100</v>
      </c>
      <c r="K39" s="324">
        <f t="shared" ca="1" si="22"/>
        <v>8003100</v>
      </c>
      <c r="L39" s="324">
        <f t="shared" ca="1" si="22"/>
        <v>8003100</v>
      </c>
      <c r="M39" s="324">
        <f t="shared" ca="1" si="22"/>
        <v>8003100</v>
      </c>
      <c r="N39" s="324">
        <f t="shared" ca="1" si="22"/>
        <v>8003100</v>
      </c>
      <c r="O39" s="324">
        <f t="shared" ca="1" si="22"/>
        <v>8003100</v>
      </c>
      <c r="AB39" s="324" t="str">
        <f>B24</f>
        <v>契約（注文書の受け取り）</v>
      </c>
      <c r="AD39" s="324">
        <f>E27*●ｼﾐｭﾚｰｼｮﾝ結果!G$6</f>
        <v>378720</v>
      </c>
      <c r="AE39" s="324"/>
      <c r="AG39" s="324">
        <f>F27*●ｼﾐｭﾚｰｼｮﾝ結果!H$6</f>
        <v>378720</v>
      </c>
      <c r="AH39" s="324"/>
      <c r="AJ39" s="324">
        <f>G27*●ｼﾐｭﾚｰｼｮﾝ結果!I$6</f>
        <v>372916.8</v>
      </c>
      <c r="AK39" s="324"/>
      <c r="AM39" s="324">
        <f>H27*●ｼﾐｭﾚｰｼｮﾝ結果!J$6</f>
        <v>371232</v>
      </c>
      <c r="AN39" s="324"/>
      <c r="AP39" s="324">
        <f>I27*●ｼﾐｭﾚｰｼｮﾝ結果!K$6</f>
        <v>369360</v>
      </c>
      <c r="AQ39" s="324"/>
      <c r="AS39" s="324">
        <f>J27*●ｼﾐｭﾚｰｼｮﾝ結果!L$6</f>
        <v>367488</v>
      </c>
      <c r="AT39" s="324"/>
      <c r="AV39" s="324">
        <f>K27*●ｼﾐｭﾚｰｼｮﾝ結果!M$6</f>
        <v>367488</v>
      </c>
      <c r="AW39" s="324"/>
      <c r="AY39" s="324">
        <f>L27*●ｼﾐｭﾚｰｼｮﾝ結果!N$6</f>
        <v>367488</v>
      </c>
      <c r="AZ39" s="324"/>
      <c r="BB39" s="324">
        <f>M27*●ｼﾐｭﾚｰｼｮﾝ結果!O$6</f>
        <v>367488</v>
      </c>
      <c r="BC39" s="324"/>
      <c r="BE39" s="324">
        <f>N27*●ｼﾐｭﾚｰｼｮﾝ結果!P$6</f>
        <v>367488</v>
      </c>
      <c r="BF39" s="324"/>
      <c r="BH39" s="324">
        <f>O27*●ｼﾐｭﾚｰｼｮﾝ結果!Q$6</f>
        <v>367488</v>
      </c>
    </row>
    <row r="40" spans="2:61">
      <c r="C40" t="s">
        <v>473</v>
      </c>
      <c r="D40" s="82">
        <v>0</v>
      </c>
      <c r="E40" s="324">
        <f ca="1">E39</f>
        <v>8003100</v>
      </c>
      <c r="F40" s="324">
        <f t="shared" ref="F40:O40" ca="1" si="23">E40+F39</f>
        <v>16006200</v>
      </c>
      <c r="G40" s="324">
        <f t="shared" ca="1" si="23"/>
        <v>24009300</v>
      </c>
      <c r="H40" s="324">
        <f t="shared" ca="1" si="23"/>
        <v>32012400</v>
      </c>
      <c r="I40" s="324">
        <f t="shared" ca="1" si="23"/>
        <v>40015500</v>
      </c>
      <c r="J40" s="324">
        <f t="shared" ca="1" si="23"/>
        <v>48018600</v>
      </c>
      <c r="K40" s="324">
        <f t="shared" ca="1" si="23"/>
        <v>56021700</v>
      </c>
      <c r="L40" s="324">
        <f t="shared" ca="1" si="23"/>
        <v>64024800</v>
      </c>
      <c r="M40" s="324">
        <f t="shared" ca="1" si="23"/>
        <v>72027900</v>
      </c>
      <c r="N40" s="324">
        <f t="shared" ca="1" si="23"/>
        <v>80031000</v>
      </c>
      <c r="O40" s="324">
        <f t="shared" ca="1" si="23"/>
        <v>88034100</v>
      </c>
      <c r="AB40" s="324"/>
      <c r="AC40" s="324">
        <f>E28*●ｼﾐｭﾚｰｼｮﾝ結果!G$6</f>
        <v>0</v>
      </c>
      <c r="AF40" s="324">
        <f>F28*●ｼﾐｭﾚｰｼｮﾝ結果!H$6</f>
        <v>0</v>
      </c>
      <c r="AI40" s="324">
        <f>G28*●ｼﾐｭﾚｰｼｮﾝ結果!I$6</f>
        <v>0</v>
      </c>
      <c r="AL40" s="324">
        <f>H28*●ｼﾐｭﾚｰｼｮﾝ結果!J$6</f>
        <v>0</v>
      </c>
      <c r="AO40" s="324">
        <f>I28*●ｼﾐｭﾚｰｼｮﾝ結果!K$6</f>
        <v>0</v>
      </c>
      <c r="AR40" s="324">
        <f>J28*●ｼﾐｭﾚｰｼｮﾝ結果!L$6</f>
        <v>0</v>
      </c>
      <c r="AU40" s="324">
        <f>K28*●ｼﾐｭﾚｰｼｮﾝ結果!M$6</f>
        <v>0</v>
      </c>
      <c r="AX40" s="324">
        <f>L28*●ｼﾐｭﾚｰｼｮﾝ結果!N$6</f>
        <v>0</v>
      </c>
      <c r="BA40" s="324">
        <f>M28*●ｼﾐｭﾚｰｼｮﾝ結果!O$6</f>
        <v>0</v>
      </c>
      <c r="BD40" s="324">
        <f>N28*●ｼﾐｭﾚｰｼｮﾝ結果!P$6</f>
        <v>0</v>
      </c>
      <c r="BG40" s="324">
        <f>O28*●ｼﾐｭﾚｰｼｮﾝ結果!Q$6</f>
        <v>0</v>
      </c>
    </row>
    <row r="41" spans="2:61">
      <c r="B41" t="s">
        <v>751</v>
      </c>
      <c r="C41" t="s">
        <v>749</v>
      </c>
      <c r="D41" s="82">
        <v>0</v>
      </c>
      <c r="E41" s="324">
        <f ca="1">SUMIF($C$12:$N$37,"電子化後年間費用",E12:E37)</f>
        <v>8003100</v>
      </c>
      <c r="F41" s="324">
        <f t="shared" ref="F41:O41" ca="1" si="24">SUMIF($C$12:$N$37,"電子化後年間費用",F12:F37)</f>
        <v>8003100</v>
      </c>
      <c r="G41" s="324">
        <f t="shared" ca="1" si="24"/>
        <v>7307738.9999999991</v>
      </c>
      <c r="H41" s="324">
        <f t="shared" ca="1" si="24"/>
        <v>7105860</v>
      </c>
      <c r="I41" s="324">
        <f t="shared" ca="1" si="24"/>
        <v>6881550</v>
      </c>
      <c r="J41" s="324">
        <f t="shared" ca="1" si="24"/>
        <v>6657240</v>
      </c>
      <c r="K41" s="324">
        <f t="shared" ca="1" si="24"/>
        <v>6657240</v>
      </c>
      <c r="L41" s="324">
        <f t="shared" ca="1" si="24"/>
        <v>6657240</v>
      </c>
      <c r="M41" s="324">
        <f t="shared" ca="1" si="24"/>
        <v>6657240</v>
      </c>
      <c r="N41" s="324">
        <f t="shared" ca="1" si="24"/>
        <v>6657240</v>
      </c>
      <c r="O41" s="324">
        <f t="shared" ca="1" si="24"/>
        <v>6657240</v>
      </c>
      <c r="AB41" s="324" t="str">
        <f>B28</f>
        <v>出来高調書・出来高査定</v>
      </c>
      <c r="AD41" s="324">
        <f>E31*●ｼﾐｭﾚｰｼｮﾝ結果!G$6</f>
        <v>0</v>
      </c>
      <c r="AE41" s="324"/>
      <c r="AG41" s="324">
        <f>F31*●ｼﾐｭﾚｰｼｮﾝ結果!H$6</f>
        <v>0</v>
      </c>
      <c r="AH41" s="324"/>
      <c r="AJ41" s="324">
        <f>G31*●ｼﾐｭﾚｰｼｮﾝ結果!I$6</f>
        <v>0</v>
      </c>
      <c r="AK41" s="324"/>
      <c r="AM41" s="324">
        <f>H31*●ｼﾐｭﾚｰｼｮﾝ結果!J$6</f>
        <v>0</v>
      </c>
      <c r="AN41" s="324"/>
      <c r="AP41" s="324">
        <f>I31*●ｼﾐｭﾚｰｼｮﾝ結果!K$6</f>
        <v>0</v>
      </c>
      <c r="AQ41" s="324"/>
      <c r="AS41" s="324">
        <f>J31*●ｼﾐｭﾚｰｼｮﾝ結果!L$6</f>
        <v>0</v>
      </c>
      <c r="AT41" s="324"/>
      <c r="AV41" s="324">
        <f>K31*●ｼﾐｭﾚｰｼｮﾝ結果!M$6</f>
        <v>0</v>
      </c>
      <c r="AW41" s="324"/>
      <c r="AY41" s="324">
        <f>L31*●ｼﾐｭﾚｰｼｮﾝ結果!N$6</f>
        <v>0</v>
      </c>
      <c r="AZ41" s="324"/>
      <c r="BB41" s="324">
        <f>M31*●ｼﾐｭﾚｰｼｮﾝ結果!O$6</f>
        <v>0</v>
      </c>
      <c r="BC41" s="324"/>
      <c r="BE41" s="324">
        <f>N31*●ｼﾐｭﾚｰｼｮﾝ結果!P$6</f>
        <v>0</v>
      </c>
      <c r="BF41" s="324"/>
      <c r="BH41" s="324">
        <f>O31*●ｼﾐｭﾚｰｼｮﾝ結果!Q$6</f>
        <v>0</v>
      </c>
    </row>
    <row r="42" spans="2:61">
      <c r="C42" t="s">
        <v>752</v>
      </c>
      <c r="D42" s="82">
        <v>0</v>
      </c>
      <c r="E42" s="324">
        <f ca="1">E41</f>
        <v>8003100</v>
      </c>
      <c r="F42" s="324">
        <f t="shared" ref="F42:O42" ca="1" si="25">E42+F41</f>
        <v>16006200</v>
      </c>
      <c r="G42" s="324">
        <f t="shared" ca="1" si="25"/>
        <v>23313939</v>
      </c>
      <c r="H42" s="324">
        <f t="shared" ca="1" si="25"/>
        <v>30419799</v>
      </c>
      <c r="I42" s="324">
        <f t="shared" ca="1" si="25"/>
        <v>37301349</v>
      </c>
      <c r="J42" s="324">
        <f t="shared" ca="1" si="25"/>
        <v>43958589</v>
      </c>
      <c r="K42" s="324">
        <f t="shared" ca="1" si="25"/>
        <v>50615829</v>
      </c>
      <c r="L42" s="324">
        <f t="shared" ca="1" si="25"/>
        <v>57273069</v>
      </c>
      <c r="M42" s="324">
        <f t="shared" ca="1" si="25"/>
        <v>63930309</v>
      </c>
      <c r="N42" s="324">
        <f t="shared" ca="1" si="25"/>
        <v>70587549</v>
      </c>
      <c r="O42" s="324">
        <f t="shared" ca="1" si="25"/>
        <v>77244789</v>
      </c>
      <c r="AB42" s="324"/>
      <c r="AC42" s="324">
        <f>E32*●ｼﾐｭﾚｰｼｮﾝ結果!G$6</f>
        <v>0</v>
      </c>
      <c r="AF42" s="324">
        <f>F32*●ｼﾐｭﾚｰｼｮﾝ結果!H$6</f>
        <v>0</v>
      </c>
      <c r="AI42" s="324">
        <f>G32*●ｼﾐｭﾚｰｼｮﾝ結果!I$6</f>
        <v>0</v>
      </c>
      <c r="AL42" s="324">
        <f>H32*●ｼﾐｭﾚｰｼｮﾝ結果!J$6</f>
        <v>0</v>
      </c>
      <c r="AO42" s="324">
        <f>I32*●ｼﾐｭﾚｰｼｮﾝ結果!K$6</f>
        <v>0</v>
      </c>
      <c r="AR42" s="324">
        <f>J32*●ｼﾐｭﾚｰｼｮﾝ結果!L$6</f>
        <v>0</v>
      </c>
      <c r="AU42" s="324">
        <f>K32*●ｼﾐｭﾚｰｼｮﾝ結果!M$6</f>
        <v>0</v>
      </c>
      <c r="AX42" s="324">
        <f>L32*●ｼﾐｭﾚｰｼｮﾝ結果!N$6</f>
        <v>0</v>
      </c>
      <c r="BA42" s="324">
        <f>M32*●ｼﾐｭﾚｰｼｮﾝ結果!O$6</f>
        <v>0</v>
      </c>
      <c r="BD42" s="324">
        <f>N32*●ｼﾐｭﾚｰｼｮﾝ結果!P$6</f>
        <v>0</v>
      </c>
      <c r="BG42" s="324">
        <f>O32*●ｼﾐｭﾚｰｼｮﾝ結果!Q$6</f>
        <v>0</v>
      </c>
    </row>
    <row r="43" spans="2:61">
      <c r="B43" t="s">
        <v>175</v>
      </c>
      <c r="C43" t="s">
        <v>471</v>
      </c>
      <c r="D43" s="82">
        <v>0</v>
      </c>
      <c r="E43" s="330">
        <f t="shared" ref="E43:O43" ca="1" si="26">E39-E41</f>
        <v>0</v>
      </c>
      <c r="F43" s="330">
        <f t="shared" ca="1" si="26"/>
        <v>0</v>
      </c>
      <c r="G43" s="330">
        <f t="shared" ca="1" si="26"/>
        <v>695361.00000000093</v>
      </c>
      <c r="H43" s="330">
        <f t="shared" ca="1" si="26"/>
        <v>897240</v>
      </c>
      <c r="I43" s="330">
        <f t="shared" ca="1" si="26"/>
        <v>1121550</v>
      </c>
      <c r="J43" s="330">
        <f t="shared" ca="1" si="26"/>
        <v>1345860</v>
      </c>
      <c r="K43" s="330">
        <f t="shared" ca="1" si="26"/>
        <v>1345860</v>
      </c>
      <c r="L43" s="330">
        <f t="shared" ca="1" si="26"/>
        <v>1345860</v>
      </c>
      <c r="M43" s="330">
        <f t="shared" ca="1" si="26"/>
        <v>1345860</v>
      </c>
      <c r="N43" s="330">
        <f t="shared" ca="1" si="26"/>
        <v>1345860</v>
      </c>
      <c r="O43" s="330">
        <f t="shared" ca="1" si="26"/>
        <v>1345860</v>
      </c>
      <c r="AB43" s="324" t="str">
        <f>B32</f>
        <v>請求</v>
      </c>
      <c r="AD43" s="324">
        <f>E35*●ｼﾐｭﾚｰｼｮﾝ結果!G$6</f>
        <v>0</v>
      </c>
      <c r="AE43" s="324"/>
      <c r="AG43" s="324">
        <f>F35*●ｼﾐｭﾚｰｼｮﾝ結果!H$6</f>
        <v>0</v>
      </c>
      <c r="AH43" s="324"/>
      <c r="AJ43" s="324">
        <f>G35*●ｼﾐｭﾚｰｼｮﾝ結果!I$6</f>
        <v>0</v>
      </c>
      <c r="AK43" s="324"/>
      <c r="AM43" s="324">
        <f>H35*●ｼﾐｭﾚｰｼｮﾝ結果!J$6</f>
        <v>0</v>
      </c>
      <c r="AN43" s="324"/>
      <c r="AP43" s="324">
        <f>I35*●ｼﾐｭﾚｰｼｮﾝ結果!K$6</f>
        <v>0</v>
      </c>
      <c r="AQ43" s="324"/>
      <c r="AS43" s="324">
        <f>J35*●ｼﾐｭﾚｰｼｮﾝ結果!L$6</f>
        <v>0</v>
      </c>
      <c r="AT43" s="324"/>
      <c r="AV43" s="324">
        <f>K35*●ｼﾐｭﾚｰｼｮﾝ結果!M$6</f>
        <v>0</v>
      </c>
      <c r="AW43" s="324"/>
      <c r="AY43" s="324">
        <f>L35*●ｼﾐｭﾚｰｼｮﾝ結果!N$6</f>
        <v>0</v>
      </c>
      <c r="AZ43" s="324"/>
      <c r="BB43" s="324">
        <f>M35*●ｼﾐｭﾚｰｼｮﾝ結果!O$6</f>
        <v>0</v>
      </c>
      <c r="BC43" s="324"/>
      <c r="BE43" s="324">
        <f>N35*●ｼﾐｭﾚｰｼｮﾝ結果!P$6</f>
        <v>0</v>
      </c>
      <c r="BF43" s="324"/>
      <c r="BH43" s="324">
        <f>O35*●ｼﾐｭﾚｰｼｮﾝ結果!Q$6</f>
        <v>0</v>
      </c>
    </row>
    <row r="44" spans="2:61">
      <c r="C44" t="s">
        <v>474</v>
      </c>
      <c r="D44" s="82">
        <v>0</v>
      </c>
      <c r="E44" s="330">
        <f t="shared" ref="E44:O44" ca="1" si="27">E40-E42</f>
        <v>0</v>
      </c>
      <c r="F44" s="330">
        <f t="shared" ca="1" si="27"/>
        <v>0</v>
      </c>
      <c r="G44" s="330">
        <f t="shared" ca="1" si="27"/>
        <v>695361</v>
      </c>
      <c r="H44" s="330">
        <f t="shared" ca="1" si="27"/>
        <v>1592601</v>
      </c>
      <c r="I44" s="330">
        <f t="shared" ca="1" si="27"/>
        <v>2714151</v>
      </c>
      <c r="J44" s="330">
        <f t="shared" ca="1" si="27"/>
        <v>4060011</v>
      </c>
      <c r="K44" s="330">
        <f t="shared" ca="1" si="27"/>
        <v>5405871</v>
      </c>
      <c r="L44" s="330">
        <f t="shared" ca="1" si="27"/>
        <v>6751731</v>
      </c>
      <c r="M44" s="330">
        <f t="shared" ca="1" si="27"/>
        <v>8097591</v>
      </c>
      <c r="N44" s="330">
        <f t="shared" ca="1" si="27"/>
        <v>9443451</v>
      </c>
      <c r="O44" s="330">
        <f t="shared" ca="1" si="27"/>
        <v>10789311</v>
      </c>
    </row>
    <row r="45" spans="2:61">
      <c r="AB45" s="326"/>
      <c r="AC45" s="326"/>
      <c r="AD45" s="326"/>
      <c r="AE45" s="326"/>
      <c r="AF45" s="326"/>
      <c r="AG45" s="326"/>
      <c r="AH45" s="326"/>
      <c r="BG45" s="326"/>
      <c r="BH45" s="326"/>
      <c r="BI45" s="326"/>
    </row>
    <row r="46" spans="2:61">
      <c r="AB46" s="326"/>
      <c r="AC46" s="326"/>
      <c r="AD46" s="326"/>
      <c r="AE46" s="326"/>
      <c r="AF46" s="326"/>
      <c r="AG46" s="326"/>
      <c r="AH46" s="326"/>
      <c r="BG46" s="326"/>
      <c r="BH46" s="326"/>
      <c r="BI46" s="326"/>
    </row>
    <row r="47" spans="2:61" s="326" customFormat="1">
      <c r="C47" s="326" t="s">
        <v>809</v>
      </c>
      <c r="E47" s="326">
        <f>IF(OR(F9&gt;0,F9=""),1,0)</f>
        <v>0</v>
      </c>
      <c r="F47" s="326">
        <f>IF(OR(G9&gt;0,G9=""),1,0)</f>
        <v>1</v>
      </c>
      <c r="G47" s="326">
        <f t="shared" ref="G47:O48" si="28">IF(OR(H9&gt;0,H9=""),1,0)</f>
        <v>1</v>
      </c>
      <c r="H47" s="326">
        <f t="shared" si="28"/>
        <v>1</v>
      </c>
      <c r="I47" s="326">
        <f t="shared" si="28"/>
        <v>1</v>
      </c>
      <c r="J47" s="326">
        <f t="shared" si="28"/>
        <v>1</v>
      </c>
      <c r="K47" s="326">
        <f t="shared" si="28"/>
        <v>1</v>
      </c>
      <c r="L47" s="326">
        <f t="shared" si="28"/>
        <v>1</v>
      </c>
      <c r="M47" s="326">
        <f t="shared" si="28"/>
        <v>1</v>
      </c>
      <c r="N47" s="326">
        <f t="shared" si="28"/>
        <v>1</v>
      </c>
      <c r="O47" s="326">
        <f t="shared" si="28"/>
        <v>1</v>
      </c>
      <c r="AI47"/>
      <c r="AJ47"/>
      <c r="AK47"/>
      <c r="AL47"/>
      <c r="AM47"/>
      <c r="AN47"/>
      <c r="AO47"/>
      <c r="AP47"/>
      <c r="AQ47"/>
      <c r="AR47"/>
      <c r="AS47"/>
      <c r="AT47"/>
      <c r="AU47"/>
      <c r="AV47"/>
      <c r="AW47"/>
      <c r="AX47"/>
      <c r="AY47"/>
      <c r="AZ47"/>
      <c r="BA47"/>
      <c r="BB47"/>
      <c r="BC47"/>
      <c r="BD47"/>
      <c r="BE47"/>
      <c r="BF47"/>
    </row>
    <row r="48" spans="2:61" s="326" customFormat="1">
      <c r="C48" s="326" t="s">
        <v>810</v>
      </c>
      <c r="E48" s="326">
        <f>IF(OR(F10&gt;0,F10=""),1,0)</f>
        <v>0</v>
      </c>
      <c r="F48" s="326">
        <f>IF(OR(G10&gt;0,G10=""),1,0)</f>
        <v>0</v>
      </c>
      <c r="G48" s="326">
        <f t="shared" si="28"/>
        <v>0</v>
      </c>
      <c r="H48" s="326">
        <f t="shared" si="28"/>
        <v>0</v>
      </c>
      <c r="I48" s="326">
        <f t="shared" si="28"/>
        <v>0</v>
      </c>
      <c r="J48" s="326">
        <f t="shared" si="28"/>
        <v>0</v>
      </c>
      <c r="K48" s="326">
        <f t="shared" si="28"/>
        <v>0</v>
      </c>
      <c r="L48" s="326">
        <f t="shared" si="28"/>
        <v>0</v>
      </c>
      <c r="M48" s="326">
        <f t="shared" si="28"/>
        <v>0</v>
      </c>
      <c r="N48" s="326">
        <f t="shared" si="28"/>
        <v>0</v>
      </c>
      <c r="O48" s="326">
        <f t="shared" si="28"/>
        <v>1</v>
      </c>
      <c r="AB48" s="327"/>
      <c r="AC48" s="327"/>
      <c r="AD48" s="327"/>
      <c r="AE48" s="327"/>
      <c r="AF48" s="327"/>
      <c r="AG48" s="327"/>
      <c r="AH48" s="327"/>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7"/>
      <c r="BE48" s="327"/>
      <c r="BF48" s="327"/>
      <c r="BG48" s="327"/>
      <c r="BH48" s="327"/>
      <c r="BI48" s="327"/>
    </row>
    <row r="49" spans="2:61" s="326" customFormat="1">
      <c r="C49" s="326" t="s">
        <v>176</v>
      </c>
      <c r="E49" s="326">
        <f>IF(ISNA(MATCH(0,$E$47:$N$47,1)),1,MATCH(0,$E$47:$N$47,1))</f>
        <v>1</v>
      </c>
      <c r="AI49" s="323"/>
      <c r="AJ49" s="323"/>
      <c r="AK49" s="323"/>
      <c r="AL49" s="323"/>
      <c r="AM49"/>
      <c r="AN49"/>
      <c r="AO49"/>
      <c r="AP49"/>
      <c r="AQ49"/>
      <c r="AR49"/>
      <c r="AS49"/>
      <c r="AT49"/>
      <c r="AU49"/>
      <c r="AV49"/>
      <c r="AW49"/>
      <c r="AX49"/>
      <c r="AY49"/>
      <c r="AZ49"/>
      <c r="BA49"/>
      <c r="BB49"/>
      <c r="BC49"/>
      <c r="BD49"/>
      <c r="BE49"/>
      <c r="BF49"/>
      <c r="BG49"/>
      <c r="BH49"/>
      <c r="BI49"/>
    </row>
    <row r="50" spans="2:61" s="327" customFormat="1" ht="27">
      <c r="B50" s="327" t="s">
        <v>624</v>
      </c>
      <c r="C50" s="336" t="s">
        <v>177</v>
      </c>
      <c r="D50" s="363">
        <v>0</v>
      </c>
      <c r="E50" s="328">
        <f>IF(MOD($E$49-E$6,投資情報!$I$4),0,投資情報!$W$27)</f>
        <v>0</v>
      </c>
      <c r="F50" s="328">
        <f>IF(MOD($E$49-F$6,投資情報!$I$4),0,投資情報!$W$27)</f>
        <v>0</v>
      </c>
      <c r="G50" s="328">
        <f>IF(MOD($E$49-G$6,投資情報!$I$4),0,投資情報!$W$27)</f>
        <v>0</v>
      </c>
      <c r="H50" s="328">
        <f>IF(MOD($E$49-H$6,投資情報!$I$4),0,投資情報!$W$27)</f>
        <v>0</v>
      </c>
      <c r="I50" s="328">
        <f>IF(MOD($E$49-I$6,投資情報!$I$4),0,投資情報!$W$27)</f>
        <v>0</v>
      </c>
      <c r="J50" s="328">
        <f>IF(MOD($E$49-J$6,投資情報!$I$4),0,投資情報!$W$27)</f>
        <v>0</v>
      </c>
      <c r="K50" s="328">
        <f>IF(MOD($E$49-K$6,投資情報!$I$4),0,投資情報!$W$27)</f>
        <v>0</v>
      </c>
      <c r="L50" s="328">
        <f>IF(MOD($E$49-L$6,投資情報!$I$4),0,投資情報!$W$27)</f>
        <v>0</v>
      </c>
      <c r="M50" s="328">
        <f>IF(MOD($E$49-M$6,投資情報!$I$4),0,投資情報!$W$27)</f>
        <v>0</v>
      </c>
      <c r="N50" s="328">
        <f>IF(MOD($E$49-N$6,投資情報!$I$4),0,投資情報!$W$27)</f>
        <v>0</v>
      </c>
      <c r="O50" s="328">
        <f>IF(MOD($E$49-O$6,投資情報!$I$4),0,投資情報!$W$27)</f>
        <v>0</v>
      </c>
      <c r="AI50" s="323"/>
      <c r="AJ50" s="323"/>
      <c r="AK50" s="323"/>
      <c r="AL50" s="323"/>
      <c r="AM50"/>
      <c r="AN50"/>
      <c r="AO50"/>
      <c r="AP50"/>
      <c r="AQ50"/>
      <c r="AR50"/>
      <c r="AS50"/>
      <c r="AT50"/>
      <c r="AU50"/>
      <c r="AV50"/>
      <c r="AW50"/>
      <c r="AX50"/>
      <c r="AY50"/>
      <c r="AZ50"/>
      <c r="BA50"/>
      <c r="BB50"/>
      <c r="BC50"/>
      <c r="BD50"/>
      <c r="BE50"/>
      <c r="BF50"/>
      <c r="BG50"/>
      <c r="BH50"/>
      <c r="BI50"/>
    </row>
    <row r="51" spans="2:61" ht="40.5">
      <c r="C51" s="336" t="s">
        <v>443</v>
      </c>
      <c r="D51" s="362">
        <v>0</v>
      </c>
      <c r="E51" s="324">
        <f>IF(E$6=投資情報!$I$5+1,投資情報!$W$12,0)</f>
        <v>0</v>
      </c>
      <c r="F51" s="324">
        <f>IF(F$6=投資情報!$I$5+1,投資情報!$W$12,0)</f>
        <v>0</v>
      </c>
      <c r="G51" s="324">
        <f>IF(G$6=投資情報!$I$5+1,投資情報!$W$12,0)</f>
        <v>0</v>
      </c>
      <c r="H51" s="324">
        <f>IF(H$6=投資情報!$I$5+1,投資情報!$W$12,0)</f>
        <v>0</v>
      </c>
      <c r="I51" s="324">
        <f>IF(I$6=投資情報!$I$5+1,投資情報!$W$12,0)</f>
        <v>0</v>
      </c>
      <c r="J51" s="324">
        <f>IF(J$6=投資情報!$I$5+1,投資情報!$W$12,0)</f>
        <v>0</v>
      </c>
      <c r="K51" s="324">
        <f>IF(K$6=投資情報!$I$5+1,投資情報!$W$12,0)</f>
        <v>0</v>
      </c>
      <c r="L51" s="324">
        <f>IF(L$6=投資情報!$I$5+1,投資情報!$W$12,0)</f>
        <v>0</v>
      </c>
      <c r="M51" s="324">
        <f>IF(M$6=投資情報!$I$5+1,投資情報!$W$12,0)</f>
        <v>0</v>
      </c>
      <c r="N51" s="324">
        <f>IF(N$6=投資情報!$I$5+1,投資情報!$W$12,0)</f>
        <v>0</v>
      </c>
      <c r="O51" s="324">
        <f>IF(O$6=投資情報!$I$5+1,投資情報!$W$12,0)</f>
        <v>0</v>
      </c>
      <c r="AI51" s="324"/>
      <c r="AJ51" s="324"/>
      <c r="AK51" s="324"/>
      <c r="AL51" s="324"/>
    </row>
    <row r="52" spans="2:61" ht="40.5">
      <c r="C52" s="336" t="s">
        <v>444</v>
      </c>
      <c r="D52" s="362">
        <v>0</v>
      </c>
      <c r="E52" s="324">
        <f>IF(E$6=投資情報!$W$5+1,投資情報!$W$14,0)</f>
        <v>0</v>
      </c>
      <c r="F52" s="324">
        <f>IF(F$6=投資情報!$W$5+1,投資情報!$W$14,0)</f>
        <v>0</v>
      </c>
      <c r="G52" s="324">
        <f>IF(G$6=投資情報!$W$5+1,投資情報!$W$14,0)</f>
        <v>0</v>
      </c>
      <c r="H52" s="324">
        <f>IF(H$6=投資情報!$W$5+1,投資情報!$W$14,0)</f>
        <v>0</v>
      </c>
      <c r="I52" s="324">
        <f>IF(I$6=投資情報!$W$5+1,投資情報!$W$14,0)</f>
        <v>0</v>
      </c>
      <c r="J52" s="324">
        <f>IF(J$6=投資情報!$W$5+1,投資情報!$W$14,0)</f>
        <v>0</v>
      </c>
      <c r="K52" s="324">
        <f>IF(K$6=投資情報!$W$5+1,投資情報!$W$14,0)</f>
        <v>0</v>
      </c>
      <c r="L52" s="324">
        <f>IF(L$6=投資情報!$W$5+1,投資情報!$W$14,0)</f>
        <v>0</v>
      </c>
      <c r="M52" s="324">
        <f>IF(M$6=投資情報!$W$5+1,投資情報!$W$14,0)</f>
        <v>0</v>
      </c>
      <c r="N52" s="324">
        <f>IF(N$6=投資情報!$W$5+1,投資情報!$W$14,0)</f>
        <v>0</v>
      </c>
      <c r="O52" s="324">
        <f>IF(O$6=投資情報!$W$5+1,投資情報!$W$14,0)</f>
        <v>0</v>
      </c>
      <c r="AC52" s="324"/>
      <c r="AD52" s="324"/>
      <c r="AE52" s="324"/>
      <c r="AF52" s="324"/>
      <c r="AG52" s="324"/>
      <c r="AH52" s="324"/>
      <c r="AI52" s="324"/>
      <c r="AJ52" s="324"/>
      <c r="AK52" s="324"/>
      <c r="AL52" s="324"/>
    </row>
    <row r="53" spans="2:61" ht="27">
      <c r="C53" s="336" t="s">
        <v>440</v>
      </c>
      <c r="D53" s="362">
        <v>0</v>
      </c>
      <c r="E53" s="324">
        <f>IF(E$6=投資情報!$I$5+1,投資情報!$W$16,0)</f>
        <v>0</v>
      </c>
      <c r="F53" s="324">
        <f>IF(F$6=投資情報!$I$5+1,投資情報!$W$16,0)</f>
        <v>0</v>
      </c>
      <c r="G53" s="324">
        <f>IF(G$6=投資情報!$I$5+1,投資情報!$W$16,0)</f>
        <v>0</v>
      </c>
      <c r="H53" s="324">
        <f>IF(H$6=投資情報!$I$5+1,投資情報!$W$16,0)</f>
        <v>0</v>
      </c>
      <c r="I53" s="324">
        <f>IF(I$6=投資情報!$I$5+1,投資情報!$W$16,0)</f>
        <v>0</v>
      </c>
      <c r="J53" s="324">
        <f>IF(J$6=投資情報!$I$5+1,投資情報!$W$16,0)</f>
        <v>0</v>
      </c>
      <c r="K53" s="324">
        <f>IF(K$6=投資情報!$I$5+1,投資情報!$W$16,0)</f>
        <v>0</v>
      </c>
      <c r="L53" s="324">
        <f>IF(L$6=投資情報!$I$5+1,投資情報!$W$16,0)</f>
        <v>0</v>
      </c>
      <c r="M53" s="324">
        <f>IF(M$6=投資情報!$I$5+1,投資情報!$W$16,0)</f>
        <v>0</v>
      </c>
      <c r="N53" s="324">
        <f>IF(N$6=投資情報!$I$5+1,投資情報!$W$16,0)</f>
        <v>0</v>
      </c>
      <c r="O53" s="324">
        <f>IF(O$6=投資情報!$I$5+1,投資情報!$W$16,0)</f>
        <v>0</v>
      </c>
      <c r="AC53" t="str">
        <f>B12</f>
        <v>購買見積依頼</v>
      </c>
      <c r="AD53" t="str">
        <f>B16</f>
        <v>購買見積回答・見積比較</v>
      </c>
      <c r="AE53" t="str">
        <f>B20</f>
        <v>契約（注文書の発行）</v>
      </c>
      <c r="AF53" t="str">
        <f>B24</f>
        <v>契約（注文書の受け取り）</v>
      </c>
      <c r="AG53" t="str">
        <f>B28</f>
        <v>出来高調書・出来高査定</v>
      </c>
      <c r="AH53" t="str">
        <f>B32</f>
        <v>請求</v>
      </c>
      <c r="AI53" s="324"/>
      <c r="AJ53" s="324"/>
      <c r="AK53" s="324"/>
      <c r="AL53" s="324"/>
    </row>
    <row r="54" spans="2:61" ht="27">
      <c r="C54" s="336" t="s">
        <v>441</v>
      </c>
      <c r="D54" s="362">
        <v>0</v>
      </c>
      <c r="E54" s="324">
        <f>IF(E$6=投資情報!$W$5+1,投資情報!$W$18,0)</f>
        <v>0</v>
      </c>
      <c r="F54" s="324">
        <f>IF(F$6=投資情報!$W$5+1,投資情報!$W$18,0)</f>
        <v>0</v>
      </c>
      <c r="G54" s="324">
        <f>IF(G$6=投資情報!$W$5+1,投資情報!$W$18,0)</f>
        <v>0</v>
      </c>
      <c r="H54" s="324">
        <f>IF(H$6=投資情報!$W$5+1,投資情報!$W$18,0)</f>
        <v>0</v>
      </c>
      <c r="I54" s="324">
        <f>IF(I$6=投資情報!$W$5+1,投資情報!$W$18,0)</f>
        <v>0</v>
      </c>
      <c r="J54" s="324">
        <f>IF(J$6=投資情報!$W$5+1,投資情報!$W$18,0)</f>
        <v>0</v>
      </c>
      <c r="K54" s="324">
        <f>IF(K$6=投資情報!$W$5+1,投資情報!$W$18,0)</f>
        <v>0</v>
      </c>
      <c r="L54" s="324">
        <f>IF(L$6=投資情報!$W$5+1,投資情報!$W$18,0)</f>
        <v>0</v>
      </c>
      <c r="M54" s="324">
        <f>IF(M$6=投資情報!$W$5+1,投資情報!$W$18,0)</f>
        <v>0</v>
      </c>
      <c r="N54" s="324">
        <f>IF(N$6=投資情報!$W$5+1,投資情報!$W$18,0)</f>
        <v>0</v>
      </c>
      <c r="O54" s="324">
        <f>IF(O$6=投資情報!$W$5+1,投資情報!$W$18,0)</f>
        <v>0</v>
      </c>
      <c r="AB54" s="324" t="s">
        <v>357</v>
      </c>
      <c r="AC54" s="324">
        <f>SUM($AD$33:$BH$33)</f>
        <v>0</v>
      </c>
      <c r="AD54" s="324">
        <f>SUM($AD$35:$BH$35)</f>
        <v>0</v>
      </c>
      <c r="AE54" s="324">
        <f>SUM($AD$37:$BH$37)</f>
        <v>72333633.599999994</v>
      </c>
      <c r="AF54" s="324">
        <f>SUM($AD$39:$BH$39)</f>
        <v>4075876.8</v>
      </c>
      <c r="AG54" s="324">
        <f>SUM($AD$41:$BH$41)</f>
        <v>0</v>
      </c>
      <c r="AH54" s="324">
        <f>SUM($AD$43:$BH$43)</f>
        <v>0</v>
      </c>
      <c r="AI54" s="324"/>
      <c r="AJ54" s="324"/>
      <c r="AK54" s="324"/>
      <c r="AL54" s="324"/>
    </row>
    <row r="55" spans="2:61" ht="27">
      <c r="C55" s="336" t="s">
        <v>286</v>
      </c>
      <c r="D55" s="362">
        <v>0</v>
      </c>
      <c r="E55" s="324">
        <f>IF(E$6=投資情報!$I$5+1,投資情報!$W$20,0)</f>
        <v>0</v>
      </c>
      <c r="F55" s="324">
        <f>IF(F$6=投資情報!$I$5+1,投資情報!$W$20,0)</f>
        <v>0</v>
      </c>
      <c r="G55" s="324">
        <f>IF(G$6=投資情報!$I$5+1,投資情報!$W$20,0)</f>
        <v>0</v>
      </c>
      <c r="H55" s="324">
        <f>IF(H$6=投資情報!$I$5+1,投資情報!$W$20,0)</f>
        <v>0</v>
      </c>
      <c r="I55" s="324">
        <f>IF(I$6=投資情報!$I$5+1,投資情報!$W$20,0)</f>
        <v>0</v>
      </c>
      <c r="J55" s="324">
        <f>IF(J$6=投資情報!$I$5+1,投資情報!$W$20,0)</f>
        <v>0</v>
      </c>
      <c r="K55" s="324">
        <f>IF(K$6=投資情報!$I$5+1,投資情報!$W$20,0)</f>
        <v>0</v>
      </c>
      <c r="L55" s="324">
        <f>IF(L$6=投資情報!$I$5+1,投資情報!$W$20,0)</f>
        <v>0</v>
      </c>
      <c r="M55" s="324">
        <f>IF(M$6=投資情報!$I$5+1,投資情報!$W$20,0)</f>
        <v>0</v>
      </c>
      <c r="N55" s="324">
        <f>IF(N$6=投資情報!$I$5+1,投資情報!$W$20,0)</f>
        <v>0</v>
      </c>
      <c r="O55" s="324">
        <f>IF(O$6=投資情報!$I$5+1,投資情報!$W$20,0)</f>
        <v>0</v>
      </c>
      <c r="AB55" s="324" t="s">
        <v>350</v>
      </c>
      <c r="AC55" s="324">
        <f>SUM($AC$32:$BG$32)</f>
        <v>0</v>
      </c>
      <c r="AD55" s="324">
        <f>SUM($AC$34:$BG$34)</f>
        <v>0</v>
      </c>
      <c r="AE55" s="324">
        <f>SUM($AC$36:$BG$36)</f>
        <v>82383840</v>
      </c>
      <c r="AF55" s="324">
        <f>SUM($AC$38:$BG$38)</f>
        <v>4165920</v>
      </c>
      <c r="AG55" s="324">
        <f>SUM($AC$40:$BG$40)</f>
        <v>0</v>
      </c>
      <c r="AH55" s="324">
        <f>SUM($AC$42:$BG$42)</f>
        <v>0</v>
      </c>
    </row>
    <row r="56" spans="2:61" ht="27">
      <c r="C56" s="336" t="s">
        <v>287</v>
      </c>
      <c r="D56" s="362">
        <v>0</v>
      </c>
      <c r="E56" s="324">
        <f>IF(E$6=投資情報!$W$5+1,投資情報!$W$22,0)</f>
        <v>0</v>
      </c>
      <c r="F56" s="324">
        <f>IF(F$6=投資情報!$W$5+1,投資情報!$W$22,0)</f>
        <v>0</v>
      </c>
      <c r="G56" s="324">
        <f>IF(G$6=投資情報!$W$5+1,投資情報!$W$22,0)</f>
        <v>0</v>
      </c>
      <c r="H56" s="324">
        <f>IF(H$6=投資情報!$W$5+1,投資情報!$W$22,0)</f>
        <v>0</v>
      </c>
      <c r="I56" s="324">
        <f>IF(I$6=投資情報!$W$5+1,投資情報!$W$22,0)</f>
        <v>0</v>
      </c>
      <c r="J56" s="324">
        <f>IF(J$6=投資情報!$W$5+1,投資情報!$W$22,0)</f>
        <v>0</v>
      </c>
      <c r="K56" s="324">
        <f>IF(K$6=投資情報!$W$5+1,投資情報!$W$22,0)</f>
        <v>0</v>
      </c>
      <c r="L56" s="324">
        <f>IF(L$6=投資情報!$W$5+1,投資情報!$W$22,0)</f>
        <v>0</v>
      </c>
      <c r="M56" s="324">
        <f>IF(M$6=投資情報!$W$5+1,投資情報!$W$22,0)</f>
        <v>0</v>
      </c>
      <c r="N56" s="324">
        <f>IF(N$6=投資情報!$W$5+1,投資情報!$W$22,0)</f>
        <v>0</v>
      </c>
      <c r="O56" s="324">
        <f>IF(O$6=投資情報!$W$5+1,投資情報!$W$22,0)</f>
        <v>0</v>
      </c>
    </row>
    <row r="57" spans="2:61">
      <c r="C57" s="336" t="s">
        <v>442</v>
      </c>
      <c r="D57" s="362">
        <v>0</v>
      </c>
      <c r="E57" s="324">
        <f>IF(E$6=投資情報!$I$5+1,投資情報!$W$24,0)</f>
        <v>0</v>
      </c>
      <c r="F57" s="324">
        <f>IF(F$6=投資情報!$I$5+1,投資情報!$W$24,0)</f>
        <v>0</v>
      </c>
      <c r="G57" s="324">
        <f>IF(G$6=投資情報!$I$5+1,投資情報!$W$24,0)</f>
        <v>0</v>
      </c>
      <c r="H57" s="324">
        <f>IF(H$6=投資情報!$I$5+1,投資情報!$W$24,0)</f>
        <v>0</v>
      </c>
      <c r="I57" s="324">
        <f>IF(I$6=投資情報!$I$5+1,投資情報!$W$24,0)</f>
        <v>0</v>
      </c>
      <c r="J57" s="324">
        <f>IF(J$6=投資情報!$I$5+1,投資情報!$W$24,0)</f>
        <v>0</v>
      </c>
      <c r="K57" s="324">
        <f>IF(K$6=投資情報!$I$5+1,投資情報!$W$24,0)</f>
        <v>0</v>
      </c>
      <c r="L57" s="324">
        <f>IF(L$6=投資情報!$I$5+1,投資情報!$W$24,0)</f>
        <v>0</v>
      </c>
      <c r="M57" s="324">
        <f>IF(M$6=投資情報!$I$5+1,投資情報!$W$24,0)</f>
        <v>0</v>
      </c>
      <c r="N57" s="324">
        <f>IF(N$6=投資情報!$I$5+1,投資情報!$W$24,0)</f>
        <v>0</v>
      </c>
      <c r="O57" s="324">
        <f>IF(O$6=投資情報!$I$5+1,投資情報!$W$24,0)</f>
        <v>0</v>
      </c>
    </row>
    <row r="58" spans="2:61" ht="40.5">
      <c r="C58" s="336" t="s">
        <v>803</v>
      </c>
      <c r="D58" s="362">
        <v>0</v>
      </c>
      <c r="E58" s="324">
        <f>IF(E$6=投資情報!$I$5+1,投資情報!$N$35*基礎情報!$J$4*基礎情報!$J$5,0)</f>
        <v>0</v>
      </c>
      <c r="F58" s="324">
        <f>IF(F$6=投資情報!$I$5+1,投資情報!$N$35*基礎情報!$J$4*基礎情報!$J$5,0)</f>
        <v>0</v>
      </c>
      <c r="G58" s="324">
        <f>IF(G$6=投資情報!$I$5+1,投資情報!$N$35*基礎情報!$J$4*基礎情報!$J$5,0)</f>
        <v>0</v>
      </c>
      <c r="H58" s="324">
        <f>IF(H$6=投資情報!$I$5+1,投資情報!$N$35*基礎情報!$J$4*基礎情報!$J$5,0)</f>
        <v>0</v>
      </c>
      <c r="I58" s="324">
        <f>IF(I$6=投資情報!$I$5+1,投資情報!$N$35*基礎情報!$J$4*基礎情報!$J$5,0)</f>
        <v>0</v>
      </c>
      <c r="J58" s="324">
        <f>IF(J$6=投資情報!$I$5+1,投資情報!$N$35*基礎情報!$J$4*基礎情報!$J$5,0)</f>
        <v>0</v>
      </c>
      <c r="K58" s="324">
        <f>IF(K$6=投資情報!$I$5+1,投資情報!$N$35*基礎情報!$J$4*基礎情報!$J$5,0)</f>
        <v>0</v>
      </c>
      <c r="L58" s="324">
        <f>IF(L$6=投資情報!$I$5+1,投資情報!$N$35*基礎情報!$J$4*基礎情報!$J$5,0)</f>
        <v>0</v>
      </c>
      <c r="M58" s="324">
        <f>IF(M$6=投資情報!$I$5+1,投資情報!$N$35*基礎情報!$J$4*基礎情報!$J$5,0)</f>
        <v>0</v>
      </c>
      <c r="N58" s="324">
        <f>IF(N$6=投資情報!$I$5+1,投資情報!$N$35*基礎情報!$J$4*基礎情報!$J$5,0)</f>
        <v>0</v>
      </c>
      <c r="O58" s="324">
        <f>IF(O$6=投資情報!$I$5+1,投資情報!$N$35*基礎情報!$J$4*基礎情報!$J$5,0)</f>
        <v>0</v>
      </c>
    </row>
    <row r="59" spans="2:61" ht="40.5">
      <c r="C59" s="336" t="s">
        <v>804</v>
      </c>
      <c r="D59" s="362">
        <v>0</v>
      </c>
      <c r="E59" s="324">
        <f>IF(E$6=投資情報!$W$5+1,投資情報!$N$35*基礎情報!$J$4*基礎情報!$J$5,0)</f>
        <v>0</v>
      </c>
      <c r="F59" s="324">
        <f>IF(F$6=投資情報!$W$5+1,投資情報!$N$35*基礎情報!$J$4*基礎情報!$J$5,0)</f>
        <v>0</v>
      </c>
      <c r="G59" s="324">
        <f>IF(G$6=投資情報!$W$5+1,投資情報!$N$35*基礎情報!$J$4*基礎情報!$J$5,0)</f>
        <v>0</v>
      </c>
      <c r="H59" s="324">
        <f>IF(H$6=投資情報!$W$5+1,投資情報!$N$35*基礎情報!$J$4*基礎情報!$J$5,0)</f>
        <v>0</v>
      </c>
      <c r="I59" s="324">
        <f>IF(I$6=投資情報!$W$5+1,投資情報!$N$35*基礎情報!$J$4*基礎情報!$J$5,0)</f>
        <v>0</v>
      </c>
      <c r="J59" s="324">
        <f>IF(J$6=投資情報!$W$5+1,投資情報!$N$35*基礎情報!$J$4*基礎情報!$J$5,0)</f>
        <v>0</v>
      </c>
      <c r="K59" s="324">
        <f>IF(K$6=投資情報!$W$5+1,投資情報!$N$35*基礎情報!$J$4*基礎情報!$J$5,0)</f>
        <v>0</v>
      </c>
      <c r="L59" s="324">
        <f>IF(L$6=投資情報!$W$5+1,投資情報!$N$35*基礎情報!$J$4*基礎情報!$J$5,0)</f>
        <v>0</v>
      </c>
      <c r="M59" s="324">
        <f>IF(M$6=投資情報!$W$5+1,投資情報!$N$35*基礎情報!$J$4*基礎情報!$J$5,0)</f>
        <v>0</v>
      </c>
      <c r="N59" s="324">
        <f>IF(N$6=投資情報!$W$5+1,投資情報!$N$35*基礎情報!$J$4*基礎情報!$J$5,0)</f>
        <v>0</v>
      </c>
      <c r="O59" s="324">
        <f>IF(O$6=投資情報!$W$5+1,投資情報!$N$35*基礎情報!$J$4*基礎情報!$J$5,0)</f>
        <v>0</v>
      </c>
    </row>
    <row r="60" spans="2:61" ht="40.5">
      <c r="C60" s="336" t="s">
        <v>805</v>
      </c>
      <c r="D60" s="362">
        <v>0</v>
      </c>
      <c r="E60" s="324">
        <f>IF(E$6=投資情報!$I$5+1,投資情報!$N$36*基礎情報!$J$4*基礎情報!$J$5,0)</f>
        <v>0</v>
      </c>
      <c r="F60" s="324">
        <f>IF(F$6=投資情報!$I$5+1,投資情報!$N$36*基礎情報!$J$4*基礎情報!$J$5,0)</f>
        <v>0</v>
      </c>
      <c r="G60" s="324">
        <f>IF(G$6=投資情報!$I$5+1,投資情報!$N$36*基礎情報!$J$4*基礎情報!$J$5,0)</f>
        <v>0</v>
      </c>
      <c r="H60" s="324">
        <f>IF(H$6=投資情報!$I$5+1,投資情報!$N$36*基礎情報!$J$4*基礎情報!$J$5,0)</f>
        <v>0</v>
      </c>
      <c r="I60" s="324">
        <f>IF(I$6=投資情報!$I$5+1,投資情報!$N$36*基礎情報!$J$4*基礎情報!$J$5,0)</f>
        <v>0</v>
      </c>
      <c r="J60" s="324">
        <f>IF(J$6=投資情報!$I$5+1,投資情報!$N$36*基礎情報!$J$4*基礎情報!$J$5,0)</f>
        <v>0</v>
      </c>
      <c r="K60" s="324">
        <f>IF(K$6=投資情報!$I$5+1,投資情報!$N$36*基礎情報!$J$4*基礎情報!$J$5,0)</f>
        <v>0</v>
      </c>
      <c r="L60" s="324">
        <f>IF(L$6=投資情報!$I$5+1,投資情報!$N$36*基礎情報!$J$4*基礎情報!$J$5,0)</f>
        <v>0</v>
      </c>
      <c r="M60" s="324">
        <f>IF(M$6=投資情報!$I$5+1,投資情報!$N$36*基礎情報!$J$4*基礎情報!$J$5,0)</f>
        <v>0</v>
      </c>
      <c r="N60" s="324">
        <f>IF(N$6=投資情報!$I$5+1,投資情報!$N$36*基礎情報!$J$4*基礎情報!$J$5,0)</f>
        <v>0</v>
      </c>
      <c r="O60" s="324">
        <f>IF(O$6=投資情報!$I$5+1,投資情報!$N$36*基礎情報!$J$4*基礎情報!$J$5,0)</f>
        <v>0</v>
      </c>
    </row>
    <row r="61" spans="2:61" ht="40.5">
      <c r="C61" s="336" t="s">
        <v>806</v>
      </c>
      <c r="D61" s="362">
        <v>0</v>
      </c>
      <c r="E61" s="324">
        <f>IF(E$6=投資情報!$W$5+1,投資情報!$N$36*基礎情報!$J$4*基礎情報!$J$5,0)</f>
        <v>0</v>
      </c>
      <c r="F61" s="324">
        <f>IF(F$6=投資情報!$W$5+1,投資情報!$N$36*基礎情報!$J$4*基礎情報!$J$5,0)</f>
        <v>0</v>
      </c>
      <c r="G61" s="324">
        <f>IF(G$6=投資情報!$W$5+1,投資情報!$N$36*基礎情報!$J$4*基礎情報!$J$5,0)</f>
        <v>0</v>
      </c>
      <c r="H61" s="324">
        <f>IF(H$6=投資情報!$W$5+1,投資情報!$N$36*基礎情報!$J$4*基礎情報!$J$5,0)</f>
        <v>0</v>
      </c>
      <c r="I61" s="324">
        <f>IF(I$6=投資情報!$W$5+1,投資情報!$N$36*基礎情報!$J$4*基礎情報!$J$5,0)</f>
        <v>0</v>
      </c>
      <c r="J61" s="324">
        <f>IF(J$6=投資情報!$W$5+1,投資情報!$N$36*基礎情報!$J$4*基礎情報!$J$5,0)</f>
        <v>0</v>
      </c>
      <c r="K61" s="324">
        <f>IF(K$6=投資情報!$W$5+1,投資情報!$N$36*基礎情報!$J$4*基礎情報!$J$5,0)</f>
        <v>0</v>
      </c>
      <c r="L61" s="324">
        <f>IF(L$6=投資情報!$W$5+1,投資情報!$N$36*基礎情報!$J$4*基礎情報!$J$5,0)</f>
        <v>0</v>
      </c>
      <c r="M61" s="324">
        <f>IF(M$6=投資情報!$W$5+1,投資情報!$N$36*基礎情報!$J$4*基礎情報!$J$5,0)</f>
        <v>0</v>
      </c>
      <c r="N61" s="324">
        <f>IF(N$6=投資情報!$W$5+1,投資情報!$N$36*基礎情報!$J$4*基礎情報!$J$5,0)</f>
        <v>0</v>
      </c>
      <c r="O61" s="324">
        <f>IF(O$6=投資情報!$W$5+1,投資情報!$N$36*基礎情報!$J$4*基礎情報!$J$5,0)</f>
        <v>0</v>
      </c>
    </row>
    <row r="62" spans="2:61" ht="27">
      <c r="C62" s="336" t="s">
        <v>80</v>
      </c>
      <c r="D62" s="362"/>
      <c r="E62" s="324">
        <f>IF(E$6=投資情報!$I$5+1,投資情報!$W$29,0)</f>
        <v>0</v>
      </c>
      <c r="F62" s="324">
        <f>IF(F$6=投資情報!$I$5+1,投資情報!$W$29,0)</f>
        <v>0</v>
      </c>
      <c r="G62" s="324">
        <f>IF(G$6=投資情報!$I$5+1,投資情報!$W$29,0)</f>
        <v>0</v>
      </c>
      <c r="H62" s="324">
        <f>IF(H$6=投資情報!$I$5+1,投資情報!$W$29,0)</f>
        <v>0</v>
      </c>
      <c r="I62" s="324">
        <f>IF(I$6=投資情報!$I$5+1,投資情報!$W$29,0)</f>
        <v>0</v>
      </c>
      <c r="J62" s="324">
        <f>IF(J$6=投資情報!$I$5+1,投資情報!$W$29,0)</f>
        <v>0</v>
      </c>
      <c r="K62" s="324">
        <f>IF(K$6=投資情報!$I$5+1,投資情報!$W$29,0)</f>
        <v>0</v>
      </c>
      <c r="L62" s="324">
        <f>IF(L$6=投資情報!$I$5+1,投資情報!$W$29,0)</f>
        <v>0</v>
      </c>
      <c r="M62" s="324">
        <f>IF(M$6=投資情報!$I$5+1,投資情報!$W$29,0)</f>
        <v>0</v>
      </c>
      <c r="N62" s="324">
        <f>IF(N$6=投資情報!$I$5+1,投資情報!$W$29,0)</f>
        <v>0</v>
      </c>
      <c r="O62" s="324">
        <f>IF(O$6=投資情報!$I$5+1,投資情報!$W$29,0)</f>
        <v>0</v>
      </c>
    </row>
    <row r="63" spans="2:61">
      <c r="C63" s="335" t="s">
        <v>178</v>
      </c>
      <c r="D63" s="362">
        <v>0</v>
      </c>
      <c r="E63" s="324">
        <f>IF(E$47=0,0,投資情報!$W$28)</f>
        <v>0</v>
      </c>
      <c r="F63" s="324">
        <f>IF(F$47=0,0,投資情報!$W$28)</f>
        <v>0</v>
      </c>
      <c r="G63" s="324">
        <f>IF(G$47=0,0,投資情報!$W$28)</f>
        <v>0</v>
      </c>
      <c r="H63" s="324">
        <f>IF(H$47=0,0,投資情報!$W$28)</f>
        <v>0</v>
      </c>
      <c r="I63" s="324">
        <f>IF(I$47=0,0,投資情報!$W$28)</f>
        <v>0</v>
      </c>
      <c r="J63" s="324">
        <f>IF(J$47=0,0,投資情報!$W$28)</f>
        <v>0</v>
      </c>
      <c r="K63" s="324">
        <f>IF(K$47=0,0,投資情報!$W$28)</f>
        <v>0</v>
      </c>
      <c r="L63" s="324">
        <f>IF(L$47=0,0,投資情報!$W$28)</f>
        <v>0</v>
      </c>
      <c r="M63" s="324">
        <f>IF(M$47=0,0,投資情報!$W$28)</f>
        <v>0</v>
      </c>
      <c r="N63" s="324">
        <f>IF(N$47=0,0,投資情報!$W$28)</f>
        <v>0</v>
      </c>
      <c r="O63" s="324">
        <f>IF(O$47=0,0,投資情報!$W$28)</f>
        <v>0</v>
      </c>
    </row>
    <row r="64" spans="2:61" ht="27">
      <c r="C64" s="335" t="s">
        <v>445</v>
      </c>
      <c r="D64" s="362">
        <v>0</v>
      </c>
      <c r="E64" s="324">
        <f>IF(E$6&gt;=投資情報!$I$5+1,投資情報!$W$13,0)</f>
        <v>0</v>
      </c>
      <c r="F64" s="324">
        <f>IF(F$6&gt;=投資情報!$I$5+1,投資情報!$W$13,0)</f>
        <v>0</v>
      </c>
      <c r="G64" s="324">
        <f>IF(G$6&gt;=投資情報!$I$5+1,投資情報!$W$13,0)</f>
        <v>0</v>
      </c>
      <c r="H64" s="324">
        <f>IF(H$6&gt;=投資情報!$I$5+1,投資情報!$W$13,0)</f>
        <v>0</v>
      </c>
      <c r="I64" s="324">
        <f>IF(I$6&gt;=投資情報!$I$5+1,投資情報!$W$13,0)</f>
        <v>0</v>
      </c>
      <c r="J64" s="324">
        <f>IF(J$6&gt;=投資情報!$I$5+1,投資情報!$W$13,0)</f>
        <v>0</v>
      </c>
      <c r="K64" s="324">
        <f>IF(K$6&gt;=投資情報!$I$5+1,投資情報!$W$13,0)</f>
        <v>0</v>
      </c>
      <c r="L64" s="324">
        <f>IF(L$6&gt;=投資情報!$I$5+1,投資情報!$W$13,0)</f>
        <v>0</v>
      </c>
      <c r="M64" s="324">
        <f>IF(M$6&gt;=投資情報!$I$5+1,投資情報!$W$13,0)</f>
        <v>0</v>
      </c>
      <c r="N64" s="324">
        <f>IF(N$6&gt;=投資情報!$I$5+1,投資情報!$W$13,0)</f>
        <v>0</v>
      </c>
      <c r="O64" s="324">
        <f>IF(O$6&gt;=投資情報!$I$5+1,投資情報!$W$13,0)</f>
        <v>0</v>
      </c>
    </row>
    <row r="65" spans="2:61" ht="27">
      <c r="C65" s="335" t="s">
        <v>446</v>
      </c>
      <c r="D65" s="362">
        <v>0</v>
      </c>
      <c r="E65" s="324">
        <f>IF(E$6&gt;=投資情報!$W$5+1,投資情報!$W$15,0)</f>
        <v>0</v>
      </c>
      <c r="F65" s="324">
        <f>IF(F$6&gt;=投資情報!$W$5+1,投資情報!$W$15,0)</f>
        <v>0</v>
      </c>
      <c r="G65" s="324">
        <f>IF(G$6&gt;=投資情報!$W$5+1,投資情報!$W$15,0)</f>
        <v>0</v>
      </c>
      <c r="H65" s="324">
        <f>IF(H$6&gt;=投資情報!$W$5+1,投資情報!$W$15,0)</f>
        <v>0</v>
      </c>
      <c r="I65" s="324">
        <f>IF(I$6&gt;=投資情報!$W$5+1,投資情報!$W$15,0)</f>
        <v>0</v>
      </c>
      <c r="J65" s="324">
        <f>IF(J$6&gt;=投資情報!$W$5+1,投資情報!$W$15,0)</f>
        <v>0</v>
      </c>
      <c r="K65" s="324">
        <f>IF(K$6&gt;=投資情報!$W$5+1,投資情報!$W$15,0)</f>
        <v>0</v>
      </c>
      <c r="L65" s="324">
        <f>IF(L$6&gt;=投資情報!$W$5+1,投資情報!$W$15,0)</f>
        <v>0</v>
      </c>
      <c r="M65" s="324">
        <f>IF(M$6&gt;=投資情報!$W$5+1,投資情報!$W$15,0)</f>
        <v>0</v>
      </c>
      <c r="N65" s="324">
        <f>IF(N$6&gt;=投資情報!$W$5+1,投資情報!$W$15,0)</f>
        <v>0</v>
      </c>
      <c r="O65" s="324">
        <f>IF(O$6&gt;=投資情報!$W$5+1,投資情報!$W$15,0)</f>
        <v>0</v>
      </c>
    </row>
    <row r="66" spans="2:61" ht="27">
      <c r="C66" s="335" t="s">
        <v>747</v>
      </c>
      <c r="D66" s="362">
        <v>0</v>
      </c>
      <c r="E66" s="324">
        <f>IF(E$6&gt;=投資情報!$I$5+1,投資情報!$W$17,0)</f>
        <v>0</v>
      </c>
      <c r="F66" s="324">
        <f>IF(F$6&gt;=投資情報!$I$5+1,投資情報!$W$17,0)</f>
        <v>0</v>
      </c>
      <c r="G66" s="324">
        <f>IF(G$6&gt;=投資情報!$I$5+1,投資情報!$W$17,0)</f>
        <v>0</v>
      </c>
      <c r="H66" s="324">
        <f>IF(H$6&gt;=投資情報!$I$5+1,投資情報!$W$17,0)</f>
        <v>0</v>
      </c>
      <c r="I66" s="324">
        <f>IF(I$6&gt;=投資情報!$I$5+1,投資情報!$W$17,0)</f>
        <v>0</v>
      </c>
      <c r="J66" s="324">
        <f>IF(J$6&gt;=投資情報!$I$5+1,投資情報!$W$17,0)</f>
        <v>0</v>
      </c>
      <c r="K66" s="324">
        <f>IF(K$6&gt;=投資情報!$I$5+1,投資情報!$W$17,0)</f>
        <v>0</v>
      </c>
      <c r="L66" s="324">
        <f>IF(L$6&gt;=投資情報!$I$5+1,投資情報!$W$17,0)</f>
        <v>0</v>
      </c>
      <c r="M66" s="324">
        <f>IF(M$6&gt;=投資情報!$I$5+1,投資情報!$W$17,0)</f>
        <v>0</v>
      </c>
      <c r="N66" s="324">
        <f>IF(N$6&gt;=投資情報!$I$5+1,投資情報!$W$17,0)</f>
        <v>0</v>
      </c>
      <c r="O66" s="324">
        <f>IF(O$6&gt;=投資情報!$I$5+1,投資情報!$W$17,0)</f>
        <v>0</v>
      </c>
    </row>
    <row r="67" spans="2:61" ht="27">
      <c r="C67" s="335" t="s">
        <v>748</v>
      </c>
      <c r="D67" s="362">
        <v>0</v>
      </c>
      <c r="E67" s="324">
        <f>IF(E$6&gt;=投資情報!$W$5+1,投資情報!$W$19,0)</f>
        <v>0</v>
      </c>
      <c r="F67" s="324">
        <f>IF(F$6&gt;=投資情報!$W$5+1,投資情報!$W$19,0)</f>
        <v>0</v>
      </c>
      <c r="G67" s="324">
        <f>IF(G$6&gt;=投資情報!$W$5+1,投資情報!$W$19,0)</f>
        <v>0</v>
      </c>
      <c r="H67" s="324">
        <f>IF(H$6&gt;=投資情報!$W$5+1,投資情報!$W$19,0)</f>
        <v>0</v>
      </c>
      <c r="I67" s="324">
        <f>IF(I$6&gt;=投資情報!$W$5+1,投資情報!$W$19,0)</f>
        <v>0</v>
      </c>
      <c r="J67" s="324">
        <f>IF(J$6&gt;=投資情報!$W$5+1,投資情報!$W$19,0)</f>
        <v>0</v>
      </c>
      <c r="K67" s="324">
        <f>IF(K$6&gt;=投資情報!$W$5+1,投資情報!$W$19,0)</f>
        <v>0</v>
      </c>
      <c r="L67" s="324">
        <f>IF(L$6&gt;=投資情報!$W$5+1,投資情報!$W$19,0)</f>
        <v>0</v>
      </c>
      <c r="M67" s="324">
        <f>IF(M$6&gt;=投資情報!$W$5+1,投資情報!$W$19,0)</f>
        <v>0</v>
      </c>
      <c r="N67" s="324">
        <f>IF(N$6&gt;=投資情報!$W$5+1,投資情報!$W$19,0)</f>
        <v>0</v>
      </c>
      <c r="O67" s="324">
        <f>IF(O$6&gt;=投資情報!$W$5+1,投資情報!$W$19,0)</f>
        <v>0</v>
      </c>
    </row>
    <row r="68" spans="2:61" ht="27">
      <c r="C68" s="335" t="s">
        <v>288</v>
      </c>
      <c r="D68" s="362">
        <v>0</v>
      </c>
      <c r="E68" s="324">
        <f>IF(E$6&gt;=投資情報!$I$5+1,投資情報!$W$21,0)</f>
        <v>0</v>
      </c>
      <c r="F68" s="324">
        <f>IF(F$6&gt;=投資情報!$I$5+1,投資情報!$W$21,0)</f>
        <v>0</v>
      </c>
      <c r="G68" s="324">
        <f>IF(G$6&gt;=投資情報!$I$5+1,投資情報!$W$21,0)</f>
        <v>0</v>
      </c>
      <c r="H68" s="324">
        <f>IF(H$6&gt;=投資情報!$I$5+1,投資情報!$W$21,0)</f>
        <v>0</v>
      </c>
      <c r="I68" s="324">
        <f>IF(I$6&gt;=投資情報!$I$5+1,投資情報!$W$21,0)</f>
        <v>0</v>
      </c>
      <c r="J68" s="324">
        <f>IF(J$6&gt;=投資情報!$I$5+1,投資情報!$W$21,0)</f>
        <v>0</v>
      </c>
      <c r="K68" s="324">
        <f>IF(K$6&gt;=投資情報!$I$5+1,投資情報!$W$21,0)</f>
        <v>0</v>
      </c>
      <c r="L68" s="324">
        <f>IF(L$6&gt;=投資情報!$I$5+1,投資情報!$W$21,0)</f>
        <v>0</v>
      </c>
      <c r="M68" s="324">
        <f>IF(M$6&gt;=投資情報!$I$5+1,投資情報!$W$21,0)</f>
        <v>0</v>
      </c>
      <c r="N68" s="324">
        <f>IF(N$6&gt;=投資情報!$I$5+1,投資情報!$W$21,0)</f>
        <v>0</v>
      </c>
      <c r="O68" s="324">
        <f>IF(O$6&gt;=投資情報!$I$5+1,投資情報!$W$21,0)</f>
        <v>0</v>
      </c>
    </row>
    <row r="69" spans="2:61" ht="27">
      <c r="C69" s="335" t="s">
        <v>289</v>
      </c>
      <c r="D69" s="362">
        <v>0</v>
      </c>
      <c r="E69" s="324">
        <f>IF(E$6&gt;=投資情報!$W$5+1,投資情報!$W$23,0)</f>
        <v>0</v>
      </c>
      <c r="F69" s="324">
        <f>IF(F$6&gt;=投資情報!$W$5+1,投資情報!$W$23,0)</f>
        <v>0</v>
      </c>
      <c r="G69" s="324">
        <f>IF(G$6&gt;=投資情報!$W$5+1,投資情報!$W$23,0)</f>
        <v>0</v>
      </c>
      <c r="H69" s="324">
        <f>IF(H$6&gt;=投資情報!$W$5+1,投資情報!$W$23,0)</f>
        <v>0</v>
      </c>
      <c r="I69" s="324">
        <f>IF(I$6&gt;=投資情報!$W$5+1,投資情報!$W$23,0)</f>
        <v>0</v>
      </c>
      <c r="J69" s="324">
        <f>IF(J$6&gt;=投資情報!$W$5+1,投資情報!$W$23,0)</f>
        <v>0</v>
      </c>
      <c r="K69" s="324">
        <f>IF(K$6&gt;=投資情報!$W$5+1,投資情報!$W$23,0)</f>
        <v>0</v>
      </c>
      <c r="L69" s="324">
        <f>IF(L$6&gt;=投資情報!$W$5+1,投資情報!$W$23,0)</f>
        <v>0</v>
      </c>
      <c r="M69" s="324">
        <f>IF(M$6&gt;=投資情報!$W$5+1,投資情報!$W$23,0)</f>
        <v>0</v>
      </c>
      <c r="N69" s="324">
        <f>IF(N$6&gt;=投資情報!$W$5+1,投資情報!$W$23,0)</f>
        <v>0</v>
      </c>
      <c r="O69" s="324">
        <f>IF(O$6&gt;=投資情報!$W$5+1,投資情報!$W$23,0)</f>
        <v>0</v>
      </c>
    </row>
    <row r="70" spans="2:61">
      <c r="C70" s="335" t="s">
        <v>447</v>
      </c>
      <c r="D70" s="362">
        <v>0</v>
      </c>
      <c r="E70" s="324">
        <f>IF(E$6&gt;=投資情報!$I$5+1,投資情報!$W$25,0)</f>
        <v>0</v>
      </c>
      <c r="F70" s="324">
        <f>IF(F$6&gt;=投資情報!$I$5+1,投資情報!$W$25,0)</f>
        <v>0</v>
      </c>
      <c r="G70" s="324">
        <f>IF(G$6&gt;=投資情報!$I$5+1,投資情報!$W$25,0)</f>
        <v>0</v>
      </c>
      <c r="H70" s="324">
        <f>IF(H$6&gt;=投資情報!$I$5+1,投資情報!$W$25,0)</f>
        <v>0</v>
      </c>
      <c r="I70" s="324">
        <f>IF(I$6&gt;=投資情報!$I$5+1,投資情報!$W$25,0)</f>
        <v>0</v>
      </c>
      <c r="J70" s="324">
        <f>IF(J$6&gt;=投資情報!$I$5+1,投資情報!$W$25,0)</f>
        <v>0</v>
      </c>
      <c r="K70" s="324">
        <f>IF(K$6&gt;=投資情報!$I$5+1,投資情報!$W$25,0)</f>
        <v>0</v>
      </c>
      <c r="L70" s="324">
        <f>IF(L$6&gt;=投資情報!$I$5+1,投資情報!$W$25,0)</f>
        <v>0</v>
      </c>
      <c r="M70" s="324">
        <f>IF(M$6&gt;=投資情報!$I$5+1,投資情報!$W$25,0)</f>
        <v>0</v>
      </c>
      <c r="N70" s="324">
        <f>IF(N$6&gt;=投資情報!$I$5+1,投資情報!$W$25,0)</f>
        <v>0</v>
      </c>
      <c r="O70" s="324">
        <f>IF(O$6&gt;=投資情報!$I$5+1,投資情報!$W$25,0)</f>
        <v>0</v>
      </c>
    </row>
    <row r="71" spans="2:61" ht="27">
      <c r="C71" s="335" t="s">
        <v>367</v>
      </c>
      <c r="D71" s="362">
        <v>0</v>
      </c>
      <c r="E71" s="324">
        <f>IF(OR(E$6&gt;=投資情報!$I$5+1,E$6&gt;=投資情報!$W$5+1),投資情報!$N$37*基礎情報!$J$4*基礎情報!$J$5,0)</f>
        <v>0</v>
      </c>
      <c r="F71" s="324">
        <f>IF(OR(F$6&gt;=投資情報!$I$5+1,F$6&gt;=投資情報!$W$5+1),投資情報!$N$37*基礎情報!$J$4*基礎情報!$J$5,0)</f>
        <v>0</v>
      </c>
      <c r="G71" s="324">
        <f>IF(OR(G$6&gt;=投資情報!$I$5+1,G$6&gt;=投資情報!$W$5+1),投資情報!$N$37*基礎情報!$J$4*基礎情報!$J$5,0)</f>
        <v>0</v>
      </c>
      <c r="H71" s="324">
        <f>IF(OR(H$6&gt;=投資情報!$I$5+1,H$6&gt;=投資情報!$W$5+1),投資情報!$N$37*基礎情報!$J$4*基礎情報!$J$5,0)</f>
        <v>0</v>
      </c>
      <c r="I71" s="324">
        <f>IF(OR(I$6&gt;=投資情報!$I$5+1,I$6&gt;=投資情報!$W$5+1),投資情報!$N$37*基礎情報!$J$4*基礎情報!$J$5,0)</f>
        <v>0</v>
      </c>
      <c r="J71" s="324">
        <f>IF(OR(J$6&gt;=投資情報!$I$5+1,J$6&gt;=投資情報!$W$5+1),投資情報!$N$37*基礎情報!$J$4*基礎情報!$J$5,0)</f>
        <v>0</v>
      </c>
      <c r="K71" s="324">
        <f>IF(OR(K$6&gt;=投資情報!$I$5+1,K$6&gt;=投資情報!$W$5+1),投資情報!$N$37*基礎情報!$J$4*基礎情報!$J$5,0)</f>
        <v>0</v>
      </c>
      <c r="L71" s="324">
        <f>IF(OR(L$6&gt;=投資情報!$I$5+1,L$6&gt;=投資情報!$W$5+1),投資情報!$N$37*基礎情報!$J$4*基礎情報!$J$5,0)</f>
        <v>0</v>
      </c>
      <c r="M71" s="324">
        <f>IF(OR(M$6&gt;=投資情報!$I$5+1,M$6&gt;=投資情報!$W$5+1),投資情報!$N$37*基礎情報!$J$4*基礎情報!$J$5,0)</f>
        <v>0</v>
      </c>
      <c r="N71" s="324">
        <f>IF(OR(N$6&gt;=投資情報!$I$5+1,N$6&gt;=投資情報!$W$5+1),投資情報!$N$37*基礎情報!$J$4*基礎情報!$J$5,0)</f>
        <v>0</v>
      </c>
      <c r="O71" s="324">
        <f>IF(OR(O$6&gt;=投資情報!$I$5+1,O$6&gt;=投資情報!$W$5+1),投資情報!$N$37*基礎情報!$J$4*基礎情報!$J$5,0)</f>
        <v>0</v>
      </c>
      <c r="P71" s="324"/>
    </row>
    <row r="72" spans="2:61" ht="27">
      <c r="C72" s="335" t="s">
        <v>368</v>
      </c>
      <c r="D72" s="362">
        <v>0</v>
      </c>
      <c r="E72" s="324">
        <f>IF(OR(E$6&gt;=投資情報!$I$5+1,E$6&gt;=投資情報!$W$5+1),投資情報!$N$38*基礎情報!$J$4*基礎情報!$J$5,0)</f>
        <v>0</v>
      </c>
      <c r="F72" s="324">
        <f>IF(OR(F$6&gt;=投資情報!$I$5+1,F$6&gt;=投資情報!$W$5+1),投資情報!$N$38*基礎情報!$J$4*基礎情報!$J$5,0)</f>
        <v>0</v>
      </c>
      <c r="G72" s="324">
        <f>IF(OR(G$6&gt;=投資情報!$I$5+1,G$6&gt;=投資情報!$W$5+1),投資情報!$N$38*基礎情報!$J$4*基礎情報!$J$5,0)</f>
        <v>0</v>
      </c>
      <c r="H72" s="324">
        <f>IF(OR(H$6&gt;=投資情報!$I$5+1,H$6&gt;=投資情報!$W$5+1),投資情報!$N$38*基礎情報!$J$4*基礎情報!$J$5,0)</f>
        <v>0</v>
      </c>
      <c r="I72" s="324">
        <f>IF(OR(I$6&gt;=投資情報!$I$5+1,I$6&gt;=投資情報!$W$5+1),投資情報!$N$38*基礎情報!$J$4*基礎情報!$J$5,0)</f>
        <v>0</v>
      </c>
      <c r="J72" s="324">
        <f>IF(OR(J$6&gt;=投資情報!$I$5+1,J$6&gt;=投資情報!$W$5+1),投資情報!$N$38*基礎情報!$J$4*基礎情報!$J$5,0)</f>
        <v>0</v>
      </c>
      <c r="K72" s="324">
        <f>IF(OR(K$6&gt;=投資情報!$I$5+1,K$6&gt;=投資情報!$W$5+1),投資情報!$N$38*基礎情報!$J$4*基礎情報!$J$5,0)</f>
        <v>0</v>
      </c>
      <c r="L72" s="324">
        <f>IF(OR(L$6&gt;=投資情報!$I$5+1,L$6&gt;=投資情報!$W$5+1),投資情報!$N$38*基礎情報!$J$4*基礎情報!$J$5,0)</f>
        <v>0</v>
      </c>
      <c r="M72" s="324">
        <f>IF(OR(M$6&gt;=投資情報!$I$5+1,M$6&gt;=投資情報!$W$5+1),投資情報!$N$38*基礎情報!$J$4*基礎情報!$J$5,0)</f>
        <v>0</v>
      </c>
      <c r="N72" s="324">
        <f>IF(OR(N$6&gt;=投資情報!$I$5+1,N$6&gt;=投資情報!$W$5+1),投資情報!$N$38*基礎情報!$J$4*基礎情報!$J$5,0)</f>
        <v>0</v>
      </c>
      <c r="O72" s="324">
        <f>IF(OR(O$6&gt;=投資情報!$I$5+1,O$6&gt;=投資情報!$W$5+1),投資情報!$N$38*基礎情報!$J$4*基礎情報!$J$5,0)</f>
        <v>0</v>
      </c>
      <c r="P72" s="324"/>
    </row>
    <row r="73" spans="2:61" ht="27">
      <c r="C73" s="335" t="s">
        <v>369</v>
      </c>
      <c r="D73" s="362">
        <v>0</v>
      </c>
      <c r="E73" s="324">
        <f>IF(OR(E$6&gt;=投資情報!$I$5+1,E$6&gt;=投資情報!$W$5+1),投資情報!$N$39*基礎情報!$J$4*基礎情報!$J$5,0)</f>
        <v>0</v>
      </c>
      <c r="F73" s="324">
        <f>IF(OR(F$6&gt;=投資情報!$I$5+1,F$6&gt;=投資情報!$W$5+1),投資情報!$N$39*基礎情報!$J$4*基礎情報!$J$5,0)</f>
        <v>0</v>
      </c>
      <c r="G73" s="324">
        <f>IF(OR(G$6&gt;=投資情報!$I$5+1,G$6&gt;=投資情報!$W$5+1),投資情報!$N$39*基礎情報!$J$4*基礎情報!$J$5,0)</f>
        <v>0</v>
      </c>
      <c r="H73" s="324">
        <f>IF(OR(H$6&gt;=投資情報!$I$5+1,H$6&gt;=投資情報!$W$5+1),投資情報!$N$39*基礎情報!$J$4*基礎情報!$J$5,0)</f>
        <v>0</v>
      </c>
      <c r="I73" s="324">
        <f>IF(OR(I$6&gt;=投資情報!$I$5+1,I$6&gt;=投資情報!$W$5+1),投資情報!$N$39*基礎情報!$J$4*基礎情報!$J$5,0)</f>
        <v>0</v>
      </c>
      <c r="J73" s="324">
        <f>IF(OR(J$6&gt;=投資情報!$I$5+1,J$6&gt;=投資情報!$W$5+1),投資情報!$N$39*基礎情報!$J$4*基礎情報!$J$5,0)</f>
        <v>0</v>
      </c>
      <c r="K73" s="324">
        <f>IF(OR(K$6&gt;=投資情報!$I$5+1,K$6&gt;=投資情報!$W$5+1),投資情報!$N$39*基礎情報!$J$4*基礎情報!$J$5,0)</f>
        <v>0</v>
      </c>
      <c r="L73" s="324">
        <f>IF(OR(L$6&gt;=投資情報!$I$5+1,L$6&gt;=投資情報!$W$5+1),投資情報!$N$39*基礎情報!$J$4*基礎情報!$J$5,0)</f>
        <v>0</v>
      </c>
      <c r="M73" s="324">
        <f>IF(OR(M$6&gt;=投資情報!$I$5+1,M$6&gt;=投資情報!$W$5+1),投資情報!$N$39*基礎情報!$J$4*基礎情報!$J$5,0)</f>
        <v>0</v>
      </c>
      <c r="N73" s="324">
        <f>IF(OR(N$6&gt;=投資情報!$I$5+1,N$6&gt;=投資情報!$W$5+1),投資情報!$N$39*基礎情報!$J$4*基礎情報!$J$5,0)</f>
        <v>0</v>
      </c>
      <c r="O73" s="324">
        <f>IF(OR(O$6&gt;=投資情報!$I$5+1,O$6&gt;=投資情報!$W$5+1),投資情報!$N$39*基礎情報!$J$4*基礎情報!$J$5,0)</f>
        <v>0</v>
      </c>
      <c r="P73" s="324"/>
    </row>
    <row r="74" spans="2:61" ht="27">
      <c r="C74" s="335" t="s">
        <v>81</v>
      </c>
      <c r="D74" s="362"/>
      <c r="E74" s="324">
        <f>IF(E$47=0,0,投資情報!$W$30)</f>
        <v>0</v>
      </c>
      <c r="F74" s="324">
        <f>IF(F$47=0,0,投資情報!$W$30)</f>
        <v>0</v>
      </c>
      <c r="G74" s="324">
        <f>IF(G$47=0,0,投資情報!$W$30)</f>
        <v>0</v>
      </c>
      <c r="H74" s="324">
        <f>IF(H$47=0,0,投資情報!$W$30)</f>
        <v>0</v>
      </c>
      <c r="I74" s="324">
        <f>IF(I$47=0,0,投資情報!$W$30)</f>
        <v>0</v>
      </c>
      <c r="J74" s="324">
        <f>IF(J$47=0,0,投資情報!$W$30)</f>
        <v>0</v>
      </c>
      <c r="K74" s="324">
        <f>IF(K$47=0,0,投資情報!$W$30)</f>
        <v>0</v>
      </c>
      <c r="L74" s="324">
        <f>IF(L$47=0,0,投資情報!$W$30)</f>
        <v>0</v>
      </c>
      <c r="M74" s="324">
        <f>IF(M$47=0,0,投資情報!$W$30)</f>
        <v>0</v>
      </c>
      <c r="N74" s="324">
        <f>IF(N$47=0,0,投資情報!$W$30)</f>
        <v>0</v>
      </c>
      <c r="O74" s="324">
        <f>IF(O$47=0,0,投資情報!$W$30)</f>
        <v>0</v>
      </c>
    </row>
    <row r="75" spans="2:61">
      <c r="C75" s="19" t="s">
        <v>754</v>
      </c>
      <c r="D75" s="362">
        <v>0</v>
      </c>
      <c r="E75" s="324">
        <f ca="1">SUMIF($C$50:$N$74,"*"&amp;"初期"&amp;"*",E50:E74)</f>
        <v>0</v>
      </c>
      <c r="F75" s="324">
        <f t="shared" ref="F75:O75" ca="1" si="29">SUMIF($C$50:$N$74,"*"&amp;"初期"&amp;"*",F50:F74)</f>
        <v>0</v>
      </c>
      <c r="G75" s="324">
        <f t="shared" ca="1" si="29"/>
        <v>0</v>
      </c>
      <c r="H75" s="324">
        <f t="shared" ca="1" si="29"/>
        <v>0</v>
      </c>
      <c r="I75" s="324">
        <f t="shared" ca="1" si="29"/>
        <v>0</v>
      </c>
      <c r="J75" s="324">
        <f t="shared" ca="1" si="29"/>
        <v>0</v>
      </c>
      <c r="K75" s="324">
        <f t="shared" ca="1" si="29"/>
        <v>0</v>
      </c>
      <c r="L75" s="324">
        <f t="shared" ca="1" si="29"/>
        <v>0</v>
      </c>
      <c r="M75" s="324">
        <f t="shared" ca="1" si="29"/>
        <v>0</v>
      </c>
      <c r="N75" s="324">
        <f t="shared" ca="1" si="29"/>
        <v>0</v>
      </c>
      <c r="O75" s="324">
        <f t="shared" ca="1" si="29"/>
        <v>0</v>
      </c>
    </row>
    <row r="76" spans="2:61">
      <c r="C76" s="19" t="s">
        <v>755</v>
      </c>
      <c r="D76" s="362">
        <v>0</v>
      </c>
      <c r="E76" s="324">
        <f ca="1">SUMIF($C$50:$N$74,"*"&amp;"年額"&amp;"*",E$50:E$74)</f>
        <v>0</v>
      </c>
      <c r="F76" s="324">
        <f t="shared" ref="F76:O76" ca="1" si="30">SUMIF($C$50:$N$74,"*"&amp;"年額"&amp;"*",F$50:F$74)</f>
        <v>0</v>
      </c>
      <c r="G76" s="324">
        <f t="shared" ca="1" si="30"/>
        <v>0</v>
      </c>
      <c r="H76" s="324">
        <f t="shared" ca="1" si="30"/>
        <v>0</v>
      </c>
      <c r="I76" s="324">
        <f t="shared" ca="1" si="30"/>
        <v>0</v>
      </c>
      <c r="J76" s="324">
        <f t="shared" ca="1" si="30"/>
        <v>0</v>
      </c>
      <c r="K76" s="324">
        <f t="shared" ca="1" si="30"/>
        <v>0</v>
      </c>
      <c r="L76" s="324">
        <f t="shared" ca="1" si="30"/>
        <v>0</v>
      </c>
      <c r="M76" s="324">
        <f t="shared" ca="1" si="30"/>
        <v>0</v>
      </c>
      <c r="N76" s="324">
        <f t="shared" ca="1" si="30"/>
        <v>0</v>
      </c>
      <c r="O76" s="324">
        <f t="shared" ca="1" si="30"/>
        <v>0</v>
      </c>
    </row>
    <row r="77" spans="2:61">
      <c r="C77" s="19" t="s">
        <v>474</v>
      </c>
      <c r="D77" s="362">
        <v>0</v>
      </c>
      <c r="E77" s="324">
        <f ca="1">E75+E76</f>
        <v>0</v>
      </c>
      <c r="F77" s="324">
        <f t="shared" ref="F77:O77" ca="1" si="31">E77+F75+F76</f>
        <v>0</v>
      </c>
      <c r="G77" s="324">
        <f t="shared" ca="1" si="31"/>
        <v>0</v>
      </c>
      <c r="H77" s="324">
        <f t="shared" ca="1" si="31"/>
        <v>0</v>
      </c>
      <c r="I77" s="324">
        <f t="shared" ca="1" si="31"/>
        <v>0</v>
      </c>
      <c r="J77" s="324">
        <f t="shared" ca="1" si="31"/>
        <v>0</v>
      </c>
      <c r="K77" s="324">
        <f t="shared" ca="1" si="31"/>
        <v>0</v>
      </c>
      <c r="L77" s="324">
        <f t="shared" ca="1" si="31"/>
        <v>0</v>
      </c>
      <c r="M77" s="324">
        <f t="shared" ca="1" si="31"/>
        <v>0</v>
      </c>
      <c r="N77" s="324">
        <f t="shared" ca="1" si="31"/>
        <v>0</v>
      </c>
      <c r="O77" s="324">
        <f t="shared" ca="1" si="31"/>
        <v>0</v>
      </c>
      <c r="AB77" s="327"/>
      <c r="AC77" s="327"/>
      <c r="AD77" s="327"/>
      <c r="AE77" s="327"/>
      <c r="AF77" s="327"/>
      <c r="AG77" s="327"/>
      <c r="AH77" s="327"/>
      <c r="AI77" s="327"/>
      <c r="AJ77" s="327"/>
      <c r="AK77" s="327"/>
      <c r="AL77" s="327"/>
      <c r="AM77" s="327"/>
      <c r="AN77" s="327"/>
      <c r="AO77" s="327"/>
      <c r="AP77" s="327"/>
      <c r="AQ77" s="327"/>
      <c r="AR77" s="327"/>
      <c r="AS77" s="327"/>
      <c r="AT77" s="327"/>
      <c r="AU77" s="327"/>
      <c r="AV77" s="327"/>
      <c r="AW77" s="327"/>
      <c r="AX77" s="327"/>
      <c r="AY77" s="327"/>
      <c r="AZ77" s="327"/>
      <c r="BA77" s="327"/>
      <c r="BB77" s="327"/>
      <c r="BC77" s="327"/>
      <c r="BD77" s="327"/>
      <c r="BE77" s="327"/>
      <c r="BF77" s="327"/>
      <c r="BG77" s="327"/>
      <c r="BH77" s="327"/>
      <c r="BI77" s="327"/>
    </row>
    <row r="78" spans="2:61">
      <c r="C78" s="19" t="s">
        <v>753</v>
      </c>
      <c r="D78" s="362">
        <v>0</v>
      </c>
      <c r="E78" s="330">
        <f t="shared" ref="E78:O78" ca="1" si="32">E$44-E77</f>
        <v>0</v>
      </c>
      <c r="F78" s="330">
        <f t="shared" ca="1" si="32"/>
        <v>0</v>
      </c>
      <c r="G78" s="330">
        <f t="shared" ca="1" si="32"/>
        <v>695361</v>
      </c>
      <c r="H78" s="330">
        <f t="shared" ca="1" si="32"/>
        <v>1592601</v>
      </c>
      <c r="I78" s="330">
        <f t="shared" ca="1" si="32"/>
        <v>2714151</v>
      </c>
      <c r="J78" s="330">
        <f t="shared" ca="1" si="32"/>
        <v>4060011</v>
      </c>
      <c r="K78" s="330">
        <f t="shared" ca="1" si="32"/>
        <v>5405871</v>
      </c>
      <c r="L78" s="330">
        <f t="shared" ca="1" si="32"/>
        <v>6751731</v>
      </c>
      <c r="M78" s="330">
        <f t="shared" ca="1" si="32"/>
        <v>8097591</v>
      </c>
      <c r="N78" s="330">
        <f t="shared" ca="1" si="32"/>
        <v>9443451</v>
      </c>
      <c r="O78" s="330">
        <f t="shared" ca="1" si="32"/>
        <v>10789311</v>
      </c>
      <c r="AC78" t="str">
        <f>B39</f>
        <v>全体（導入前）</v>
      </c>
      <c r="AD78" t="str">
        <f>B43</f>
        <v>コストメリット</v>
      </c>
      <c r="AE78">
        <f>B47</f>
        <v>0</v>
      </c>
      <c r="AF78">
        <f>B51</f>
        <v>0</v>
      </c>
      <c r="AG78">
        <f>B55</f>
        <v>0</v>
      </c>
      <c r="AH78">
        <f>B59</f>
        <v>0</v>
      </c>
      <c r="AI78" s="323"/>
      <c r="AJ78" s="323"/>
      <c r="AK78" s="323"/>
      <c r="AL78" s="323"/>
    </row>
    <row r="79" spans="2:61" s="327" customFormat="1" ht="27">
      <c r="B79" s="327" t="s">
        <v>435</v>
      </c>
      <c r="C79" s="336" t="s">
        <v>177</v>
      </c>
      <c r="D79" s="363">
        <v>0</v>
      </c>
      <c r="E79" s="328">
        <f>IF(MOD($E$49-E$6,投資情報!$I$4),0,投資情報!$W$59)</f>
        <v>0</v>
      </c>
      <c r="F79" s="328">
        <f>IF(MOD($E$49-F$6,投資情報!$I$4),0,投資情報!$W$59)</f>
        <v>0</v>
      </c>
      <c r="G79" s="328">
        <f>IF(MOD($E$49-G$6,投資情報!$I$4),0,投資情報!$W$59)</f>
        <v>0</v>
      </c>
      <c r="H79" s="328">
        <f>IF(MOD($E$49-H$6,投資情報!$I$4),0,投資情報!$W$59)</f>
        <v>0</v>
      </c>
      <c r="I79" s="328">
        <f>IF(MOD($E$49-I$6,投資情報!$I$4),0,投資情報!$W$59)</f>
        <v>0</v>
      </c>
      <c r="J79" s="328">
        <f>IF(MOD($E$49-J$6,投資情報!$I$4),0,投資情報!$W$59)</f>
        <v>0</v>
      </c>
      <c r="K79" s="328">
        <f>IF(MOD($E$49-K$6,投資情報!$I$4),0,投資情報!$W$59)</f>
        <v>0</v>
      </c>
      <c r="L79" s="328">
        <f>IF(MOD($E$49-L$6,投資情報!$I$4),0,投資情報!$W$59)</f>
        <v>0</v>
      </c>
      <c r="M79" s="328">
        <f>IF(MOD($E$49-M$6,投資情報!$I$4),0,投資情報!$W$59)</f>
        <v>0</v>
      </c>
      <c r="N79" s="328">
        <f>IF(MOD($E$49-N$6,投資情報!$I$4),0,投資情報!$W$59)</f>
        <v>0</v>
      </c>
      <c r="O79" s="328">
        <f>IF(MOD($E$49-O$6,投資情報!$I$4),0,投資情報!$W$59)</f>
        <v>0</v>
      </c>
      <c r="AB79" s="324" t="s">
        <v>357</v>
      </c>
      <c r="AC79" s="324">
        <f ca="1">SUM($E42:$N42)</f>
        <v>401409732</v>
      </c>
      <c r="AD79" s="324">
        <f>SUM($E46:$N46)</f>
        <v>0</v>
      </c>
      <c r="AE79" s="324">
        <f>SUM($E50:$N50)</f>
        <v>0</v>
      </c>
      <c r="AF79" s="324">
        <f>SUM($E54:$N54)</f>
        <v>0</v>
      </c>
      <c r="AG79" s="324">
        <f>SUM($E58:$N58)</f>
        <v>0</v>
      </c>
      <c r="AH79" s="324">
        <f>SUM($E63:$N63)</f>
        <v>0</v>
      </c>
      <c r="AI79" s="323"/>
      <c r="AJ79" s="323"/>
      <c r="AK79" s="323"/>
      <c r="AL79" s="323"/>
      <c r="AM79"/>
      <c r="AN79"/>
      <c r="AO79"/>
      <c r="AP79"/>
      <c r="AQ79"/>
      <c r="AR79"/>
      <c r="AS79"/>
      <c r="AT79"/>
      <c r="AU79"/>
      <c r="AV79"/>
      <c r="AW79"/>
      <c r="AX79"/>
      <c r="AY79"/>
      <c r="AZ79"/>
      <c r="BA79"/>
      <c r="BB79"/>
      <c r="BC79"/>
      <c r="BD79"/>
      <c r="BE79"/>
      <c r="BF79"/>
      <c r="BG79"/>
      <c r="BH79"/>
      <c r="BI79"/>
    </row>
    <row r="80" spans="2:61" ht="40.5">
      <c r="C80" s="336" t="s">
        <v>443</v>
      </c>
      <c r="D80" s="362">
        <v>0</v>
      </c>
      <c r="E80" s="324">
        <f>IF(E$6=投資情報!$I$5+1,投資情報!$W$44,0)</f>
        <v>0</v>
      </c>
      <c r="F80" s="324">
        <f>IF(F$6=投資情報!$I$5+1,投資情報!$W$44,0)</f>
        <v>0</v>
      </c>
      <c r="G80" s="324">
        <f>IF(G$6=投資情報!$I$5+1,投資情報!$W$44,0)</f>
        <v>0</v>
      </c>
      <c r="H80" s="324">
        <f>IF(H$6=投資情報!$I$5+1,投資情報!$W$44,0)</f>
        <v>0</v>
      </c>
      <c r="I80" s="324">
        <f>IF(I$6=投資情報!$I$5+1,投資情報!$W$44,0)</f>
        <v>0</v>
      </c>
      <c r="J80" s="324">
        <f>IF(J$6=投資情報!$I$5+1,投資情報!$W$44,0)</f>
        <v>0</v>
      </c>
      <c r="K80" s="324">
        <f>IF(K$6=投資情報!$I$5+1,投資情報!$W$44,0)</f>
        <v>0</v>
      </c>
      <c r="L80" s="324">
        <f>IF(L$6=投資情報!$I$5+1,投資情報!$W$44,0)</f>
        <v>0</v>
      </c>
      <c r="M80" s="324">
        <f>IF(M$6=投資情報!$I$5+1,投資情報!$W$44,0)</f>
        <v>0</v>
      </c>
      <c r="N80" s="324">
        <f>IF(N$6=投資情報!$I$5+1,投資情報!$W$44,0)</f>
        <v>0</v>
      </c>
      <c r="O80" s="324">
        <f>IF(O$6=投資情報!$I$5+1,投資情報!$W$44,0)</f>
        <v>0</v>
      </c>
    </row>
    <row r="81" spans="3:38" ht="40.5">
      <c r="C81" s="336" t="s">
        <v>444</v>
      </c>
      <c r="D81" s="362">
        <v>0</v>
      </c>
      <c r="E81" s="324">
        <f>IF(E$6=投資情報!$W$5+1,投資情報!$W$46,0)</f>
        <v>0</v>
      </c>
      <c r="F81" s="324">
        <f>IF(F$6=投資情報!$W$5+1,投資情報!$W$46,0)</f>
        <v>0</v>
      </c>
      <c r="G81" s="324">
        <f>IF(G$6=投資情報!$W$5+1,投資情報!$W$46,0)</f>
        <v>0</v>
      </c>
      <c r="H81" s="324">
        <f>IF(H$6=投資情報!$W$5+1,投資情報!$W$46,0)</f>
        <v>0</v>
      </c>
      <c r="I81" s="324">
        <f>IF(I$6=投資情報!$W$5+1,投資情報!$W$46,0)</f>
        <v>0</v>
      </c>
      <c r="J81" s="324">
        <f>IF(J$6=投資情報!$W$5+1,投資情報!$W$46,0)</f>
        <v>0</v>
      </c>
      <c r="K81" s="324">
        <f>IF(K$6=投資情報!$W$5+1,投資情報!$W$46,0)</f>
        <v>0</v>
      </c>
      <c r="L81" s="324">
        <f>IF(L$6=投資情報!$W$5+1,投資情報!$W$46,0)</f>
        <v>0</v>
      </c>
      <c r="M81" s="324">
        <f>IF(M$6=投資情報!$W$5+1,投資情報!$W$46,0)</f>
        <v>0</v>
      </c>
      <c r="N81" s="324">
        <f>IF(N$6=投資情報!$W$5+1,投資情報!$W$46,0)</f>
        <v>0</v>
      </c>
      <c r="O81" s="324">
        <f>IF(O$6=投資情報!$W$5+1,投資情報!$W$46,0)</f>
        <v>0</v>
      </c>
    </row>
    <row r="82" spans="3:38" ht="27">
      <c r="C82" s="336" t="s">
        <v>440</v>
      </c>
      <c r="D82" s="362">
        <v>0</v>
      </c>
      <c r="E82" s="324">
        <f>IF(E$6=投資情報!$I$5+1,投資情報!$W$48,0)</f>
        <v>0</v>
      </c>
      <c r="F82" s="324">
        <f>IF(F$6=投資情報!$I$5+1,投資情報!$W$48,0)</f>
        <v>1500000</v>
      </c>
      <c r="G82" s="324">
        <f>IF(G$6=投資情報!$I$5+1,投資情報!$W$48,0)</f>
        <v>0</v>
      </c>
      <c r="H82" s="324">
        <f>IF(H$6=投資情報!$I$5+1,投資情報!$W$48,0)</f>
        <v>0</v>
      </c>
      <c r="I82" s="324">
        <f>IF(I$6=投資情報!$I$5+1,投資情報!$W$48,0)</f>
        <v>0</v>
      </c>
      <c r="J82" s="324">
        <f>IF(J$6=投資情報!$I$5+1,投資情報!$W$48,0)</f>
        <v>0</v>
      </c>
      <c r="K82" s="324">
        <f>IF(K$6=投資情報!$I$5+1,投資情報!$W$48,0)</f>
        <v>0</v>
      </c>
      <c r="L82" s="324">
        <f>IF(L$6=投資情報!$I$5+1,投資情報!$W$48,0)</f>
        <v>0</v>
      </c>
      <c r="M82" s="324">
        <f>IF(M$6=投資情報!$I$5+1,投資情報!$W$48,0)</f>
        <v>0</v>
      </c>
      <c r="N82" s="324">
        <f>IF(N$6=投資情報!$I$5+1,投資情報!$W$48,0)</f>
        <v>0</v>
      </c>
      <c r="O82" s="324">
        <f>IF(O$6=投資情報!$I$5+1,投資情報!$W$48,0)</f>
        <v>0</v>
      </c>
      <c r="AC82" s="324"/>
      <c r="AD82" s="324"/>
      <c r="AE82" s="324"/>
      <c r="AF82" s="324"/>
      <c r="AG82" s="324"/>
      <c r="AH82" s="324"/>
      <c r="AI82" s="324"/>
      <c r="AJ82" s="324"/>
      <c r="AK82" s="324"/>
      <c r="AL82" s="324"/>
    </row>
    <row r="83" spans="3:38" ht="27">
      <c r="C83" s="336" t="s">
        <v>441</v>
      </c>
      <c r="D83" s="362">
        <v>0</v>
      </c>
      <c r="E83" s="324">
        <f>IF(E$6=投資情報!$W$5+1,投資情報!$W$50,0)</f>
        <v>0</v>
      </c>
      <c r="F83" s="324">
        <f>IF(F$6=投資情報!$W$5+1,投資情報!$W$50,0)</f>
        <v>0</v>
      </c>
      <c r="G83" s="324">
        <f>IF(G$6=投資情報!$W$5+1,投資情報!$W$50,0)</f>
        <v>0</v>
      </c>
      <c r="H83" s="324">
        <f>IF(H$6=投資情報!$W$5+1,投資情報!$W$50,0)</f>
        <v>0</v>
      </c>
      <c r="I83" s="324">
        <f>IF(I$6=投資情報!$W$5+1,投資情報!$W$50,0)</f>
        <v>0</v>
      </c>
      <c r="J83" s="324">
        <f>IF(J$6=投資情報!$W$5+1,投資情報!$W$50,0)</f>
        <v>0</v>
      </c>
      <c r="K83" s="324">
        <f>IF(K$6=投資情報!$W$5+1,投資情報!$W$50,0)</f>
        <v>0</v>
      </c>
      <c r="L83" s="324">
        <f>IF(L$6=投資情報!$W$5+1,投資情報!$W$50,0)</f>
        <v>0</v>
      </c>
      <c r="M83" s="324">
        <f>IF(M$6=投資情報!$W$5+1,投資情報!$W$50,0)</f>
        <v>0</v>
      </c>
      <c r="N83" s="324">
        <f>IF(N$6=投資情報!$W$5+1,投資情報!$W$50,0)</f>
        <v>0</v>
      </c>
      <c r="O83" s="324">
        <f>IF(O$6=投資情報!$W$5+1,投資情報!$W$50,0)</f>
        <v>0</v>
      </c>
      <c r="AC83" s="324"/>
      <c r="AD83" s="324"/>
      <c r="AE83" s="324"/>
      <c r="AF83" s="324"/>
      <c r="AG83" s="324"/>
      <c r="AH83" s="324"/>
      <c r="AI83" s="324"/>
      <c r="AJ83" s="324"/>
      <c r="AK83" s="324"/>
      <c r="AL83" s="324"/>
    </row>
    <row r="84" spans="3:38" ht="27">
      <c r="C84" s="336" t="s">
        <v>286</v>
      </c>
      <c r="D84" s="362">
        <v>0</v>
      </c>
      <c r="E84" s="324">
        <f>IF(E$6=投資情報!$I$5+1,投資情報!$W$52,0)</f>
        <v>0</v>
      </c>
      <c r="F84" s="324">
        <f>IF(F$6=投資情報!$I$5+1,投資情報!$W$52,0)</f>
        <v>130000</v>
      </c>
      <c r="G84" s="324">
        <f>IF(G$6=投資情報!$I$5+1,投資情報!$W$52,0)</f>
        <v>0</v>
      </c>
      <c r="H84" s="324">
        <f>IF(H$6=投資情報!$I$5+1,投資情報!$W$52,0)</f>
        <v>0</v>
      </c>
      <c r="I84" s="324">
        <f>IF(I$6=投資情報!$I$5+1,投資情報!$W$52,0)</f>
        <v>0</v>
      </c>
      <c r="J84" s="324">
        <f>IF(J$6=投資情報!$I$5+1,投資情報!$W$52,0)</f>
        <v>0</v>
      </c>
      <c r="K84" s="324">
        <f>IF(K$6=投資情報!$I$5+1,投資情報!$W$52,0)</f>
        <v>0</v>
      </c>
      <c r="L84" s="324">
        <f>IF(L$6=投資情報!$I$5+1,投資情報!$W$52,0)</f>
        <v>0</v>
      </c>
      <c r="M84" s="324">
        <f>IF(M$6=投資情報!$I$5+1,投資情報!$W$52,0)</f>
        <v>0</v>
      </c>
      <c r="N84" s="324">
        <f>IF(N$6=投資情報!$I$5+1,投資情報!$W$52,0)</f>
        <v>0</v>
      </c>
      <c r="O84" s="324">
        <f>IF(O$6=投資情報!$I$5+1,投資情報!$W$52,0)</f>
        <v>0</v>
      </c>
    </row>
    <row r="85" spans="3:38" ht="27">
      <c r="C85" s="336" t="s">
        <v>287</v>
      </c>
      <c r="D85" s="362">
        <v>0</v>
      </c>
      <c r="E85" s="324">
        <f>IF(E$6=投資情報!$W$5+1,投資情報!$W$54,0)</f>
        <v>0</v>
      </c>
      <c r="F85" s="324">
        <f>IF(F$6=投資情報!$W$5+1,投資情報!$W$54,0)</f>
        <v>0</v>
      </c>
      <c r="G85" s="324">
        <f>IF(G$6=投資情報!$W$5+1,投資情報!$W$54,0)</f>
        <v>0</v>
      </c>
      <c r="H85" s="324">
        <f>IF(H$6=投資情報!$W$5+1,投資情報!$W$54,0)</f>
        <v>0</v>
      </c>
      <c r="I85" s="324">
        <f>IF(I$6=投資情報!$W$5+1,投資情報!$W$54,0)</f>
        <v>0</v>
      </c>
      <c r="J85" s="324">
        <f>IF(J$6=投資情報!$W$5+1,投資情報!$W$54,0)</f>
        <v>0</v>
      </c>
      <c r="K85" s="324">
        <f>IF(K$6=投資情報!$W$5+1,投資情報!$W$54,0)</f>
        <v>0</v>
      </c>
      <c r="L85" s="324">
        <f>IF(L$6=投資情報!$W$5+1,投資情報!$W$54,0)</f>
        <v>0</v>
      </c>
      <c r="M85" s="324">
        <f>IF(M$6=投資情報!$W$5+1,投資情報!$W$54,0)</f>
        <v>0</v>
      </c>
      <c r="N85" s="324">
        <f>IF(N$6=投資情報!$W$5+1,投資情報!$W$54,0)</f>
        <v>0</v>
      </c>
      <c r="O85" s="324">
        <f>IF(O$6=投資情報!$W$5+1,投資情報!$W$54,0)</f>
        <v>0</v>
      </c>
    </row>
    <row r="86" spans="3:38">
      <c r="C86" s="336" t="s">
        <v>442</v>
      </c>
      <c r="D86" s="362">
        <v>0</v>
      </c>
      <c r="E86" s="324">
        <f>IF(E$6=投資情報!$I$5+1,投資情報!$W$56,0)</f>
        <v>0</v>
      </c>
      <c r="F86" s="324">
        <f>IF(F$6=投資情報!$I$5+1,投資情報!$W$56,0)</f>
        <v>0</v>
      </c>
      <c r="G86" s="324">
        <f>IF(G$6=投資情報!$I$5+1,投資情報!$W$56,0)</f>
        <v>0</v>
      </c>
      <c r="H86" s="324">
        <f>IF(H$6=投資情報!$I$5+1,投資情報!$W$56,0)</f>
        <v>0</v>
      </c>
      <c r="I86" s="324">
        <f>IF(I$6=投資情報!$I$5+1,投資情報!$W$56,0)</f>
        <v>0</v>
      </c>
      <c r="J86" s="324">
        <f>IF(J$6=投資情報!$I$5+1,投資情報!$W$56,0)</f>
        <v>0</v>
      </c>
      <c r="K86" s="324">
        <f>IF(K$6=投資情報!$I$5+1,投資情報!$W$56,0)</f>
        <v>0</v>
      </c>
      <c r="L86" s="324">
        <f>IF(L$6=投資情報!$I$5+1,投資情報!$W$56,0)</f>
        <v>0</v>
      </c>
      <c r="M86" s="324">
        <f>IF(M$6=投資情報!$I$5+1,投資情報!$W$56,0)</f>
        <v>0</v>
      </c>
      <c r="N86" s="324">
        <f>IF(N$6=投資情報!$I$5+1,投資情報!$W$56,0)</f>
        <v>0</v>
      </c>
      <c r="O86" s="324">
        <f>IF(O$6=投資情報!$I$5+1,投資情報!$W$56,0)</f>
        <v>0</v>
      </c>
    </row>
    <row r="87" spans="3:38" ht="40.5">
      <c r="C87" s="336" t="s">
        <v>803</v>
      </c>
      <c r="D87" s="362">
        <v>0</v>
      </c>
      <c r="E87" s="324">
        <f>IF(E$6=投資情報!$I$5+1,投資情報!$N$67*基礎情報!$J$4*基礎情報!$J$5,0)</f>
        <v>0</v>
      </c>
      <c r="F87" s="324">
        <f>IF(F$6=投資情報!$I$5+1,投資情報!$N$67*基礎情報!$J$4*基礎情報!$J$5,0)</f>
        <v>0</v>
      </c>
      <c r="G87" s="324">
        <f>IF(G$6=投資情報!$I$5+1,投資情報!$N$67*基礎情報!$J$4*基礎情報!$J$5,0)</f>
        <v>0</v>
      </c>
      <c r="H87" s="324">
        <f>IF(H$6=投資情報!$I$5+1,投資情報!$N$67*基礎情報!$J$4*基礎情報!$J$5,0)</f>
        <v>0</v>
      </c>
      <c r="I87" s="324">
        <f>IF(I$6=投資情報!$I$5+1,投資情報!$N$67*基礎情報!$J$4*基礎情報!$J$5,0)</f>
        <v>0</v>
      </c>
      <c r="J87" s="324">
        <f>IF(J$6=投資情報!$I$5+1,投資情報!$N$67*基礎情報!$J$4*基礎情報!$J$5,0)</f>
        <v>0</v>
      </c>
      <c r="K87" s="324">
        <f>IF(K$6=投資情報!$I$5+1,投資情報!$N$67*基礎情報!$J$4*基礎情報!$J$5,0)</f>
        <v>0</v>
      </c>
      <c r="L87" s="324">
        <f>IF(L$6=投資情報!$I$5+1,投資情報!$N$67*基礎情報!$J$4*基礎情報!$J$5,0)</f>
        <v>0</v>
      </c>
      <c r="M87" s="324">
        <f>IF(M$6=投資情報!$I$5+1,投資情報!$N$67*基礎情報!$J$4*基礎情報!$J$5,0)</f>
        <v>0</v>
      </c>
      <c r="N87" s="324">
        <f>IF(N$6=投資情報!$I$5+1,投資情報!$N$67*基礎情報!$J$4*基礎情報!$J$5,0)</f>
        <v>0</v>
      </c>
      <c r="O87" s="324">
        <f>IF(O$6=投資情報!$I$5+1,投資情報!$N$67*基礎情報!$J$4*基礎情報!$J$5,0)</f>
        <v>0</v>
      </c>
    </row>
    <row r="88" spans="3:38" ht="40.5">
      <c r="C88" s="336" t="s">
        <v>804</v>
      </c>
      <c r="D88" s="362">
        <v>0</v>
      </c>
      <c r="E88" s="324">
        <f>IF(E$6=投資情報!$W$5+1,投資情報!$N$67*基礎情報!$J$4*基礎情報!$J$5,0)</f>
        <v>0</v>
      </c>
      <c r="F88" s="324">
        <f>IF(F$6=投資情報!$W$5+1,投資情報!$N$67*基礎情報!$J$4*基礎情報!$J$5,0)</f>
        <v>0</v>
      </c>
      <c r="G88" s="324">
        <f>IF(G$6=投資情報!$W$5+1,投資情報!$N$67*基礎情報!$J$4*基礎情報!$J$5,0)</f>
        <v>0</v>
      </c>
      <c r="H88" s="324">
        <f>IF(H$6=投資情報!$W$5+1,投資情報!$N$67*基礎情報!$J$4*基礎情報!$J$5,0)</f>
        <v>0</v>
      </c>
      <c r="I88" s="324">
        <f>IF(I$6=投資情報!$W$5+1,投資情報!$N$67*基礎情報!$J$4*基礎情報!$J$5,0)</f>
        <v>0</v>
      </c>
      <c r="J88" s="324">
        <f>IF(J$6=投資情報!$W$5+1,投資情報!$N$67*基礎情報!$J$4*基礎情報!$J$5,0)</f>
        <v>0</v>
      </c>
      <c r="K88" s="324">
        <f>IF(K$6=投資情報!$W$5+1,投資情報!$N$67*基礎情報!$J$4*基礎情報!$J$5,0)</f>
        <v>0</v>
      </c>
      <c r="L88" s="324">
        <f>IF(L$6=投資情報!$W$5+1,投資情報!$N$67*基礎情報!$J$4*基礎情報!$J$5,0)</f>
        <v>0</v>
      </c>
      <c r="M88" s="324">
        <f>IF(M$6=投資情報!$W$5+1,投資情報!$N$67*基礎情報!$J$4*基礎情報!$J$5,0)</f>
        <v>0</v>
      </c>
      <c r="N88" s="324">
        <f>IF(N$6=投資情報!$W$5+1,投資情報!$N$67*基礎情報!$J$4*基礎情報!$J$5,0)</f>
        <v>0</v>
      </c>
      <c r="O88" s="324">
        <f>IF(O$6=投資情報!$W$5+1,投資情報!$N$67*基礎情報!$J$4*基礎情報!$J$5,0)</f>
        <v>0</v>
      </c>
    </row>
    <row r="89" spans="3:38" ht="40.5">
      <c r="C89" s="336" t="s">
        <v>805</v>
      </c>
      <c r="D89" s="362">
        <v>0</v>
      </c>
      <c r="E89" s="324">
        <f>IF(E$6=投資情報!$I$5+1,投資情報!$N$68*基礎情報!$J$4*基礎情報!$J$5,0)</f>
        <v>0</v>
      </c>
      <c r="F89" s="324">
        <f>IF(F$6=投資情報!$I$5+1,投資情報!$N$68*基礎情報!$J$4*基礎情報!$J$5,0)</f>
        <v>0</v>
      </c>
      <c r="G89" s="324">
        <f>IF(G$6=投資情報!$I$5+1,投資情報!$N$68*基礎情報!$J$4*基礎情報!$J$5,0)</f>
        <v>0</v>
      </c>
      <c r="H89" s="324">
        <f>IF(H$6=投資情報!$I$5+1,投資情報!$N$68*基礎情報!$J$4*基礎情報!$J$5,0)</f>
        <v>0</v>
      </c>
      <c r="I89" s="324">
        <f>IF(I$6=投資情報!$I$5+1,投資情報!$N$68*基礎情報!$J$4*基礎情報!$J$5,0)</f>
        <v>0</v>
      </c>
      <c r="J89" s="324">
        <f>IF(J$6=投資情報!$I$5+1,投資情報!$N$68*基礎情報!$J$4*基礎情報!$J$5,0)</f>
        <v>0</v>
      </c>
      <c r="K89" s="324">
        <f>IF(K$6=投資情報!$I$5+1,投資情報!$N$68*基礎情報!$J$4*基礎情報!$J$5,0)</f>
        <v>0</v>
      </c>
      <c r="L89" s="324">
        <f>IF(L$6=投資情報!$I$5+1,投資情報!$N$68*基礎情報!$J$4*基礎情報!$J$5,0)</f>
        <v>0</v>
      </c>
      <c r="M89" s="324">
        <f>IF(M$6=投資情報!$I$5+1,投資情報!$N$68*基礎情報!$J$4*基礎情報!$J$5,0)</f>
        <v>0</v>
      </c>
      <c r="N89" s="324">
        <f>IF(N$6=投資情報!$I$5+1,投資情報!$N$68*基礎情報!$J$4*基礎情報!$J$5,0)</f>
        <v>0</v>
      </c>
      <c r="O89" s="324">
        <f>IF(O$6=投資情報!$I$5+1,投資情報!$N$68*基礎情報!$J$4*基礎情報!$J$5,0)</f>
        <v>0</v>
      </c>
    </row>
    <row r="90" spans="3:38" ht="40.5">
      <c r="C90" s="336" t="s">
        <v>806</v>
      </c>
      <c r="D90" s="362">
        <v>0</v>
      </c>
      <c r="E90" s="324">
        <f>IF(E$6=投資情報!$W$5+1,投資情報!$N$68*基礎情報!$J$4*基礎情報!$J$5,0)</f>
        <v>0</v>
      </c>
      <c r="F90" s="324">
        <f>IF(F$6=投資情報!$W$5+1,投資情報!$N$68*基礎情報!$J$4*基礎情報!$J$5,0)</f>
        <v>0</v>
      </c>
      <c r="G90" s="324">
        <f>IF(G$6=投資情報!$W$5+1,投資情報!$N$68*基礎情報!$J$4*基礎情報!$J$5,0)</f>
        <v>0</v>
      </c>
      <c r="H90" s="324">
        <f>IF(H$6=投資情報!$W$5+1,投資情報!$N$68*基礎情報!$J$4*基礎情報!$J$5,0)</f>
        <v>0</v>
      </c>
      <c r="I90" s="324">
        <f>IF(I$6=投資情報!$W$5+1,投資情報!$N$68*基礎情報!$J$4*基礎情報!$J$5,0)</f>
        <v>0</v>
      </c>
      <c r="J90" s="324">
        <f>IF(J$6=投資情報!$W$5+1,投資情報!$N$68*基礎情報!$J$4*基礎情報!$J$5,0)</f>
        <v>0</v>
      </c>
      <c r="K90" s="324">
        <f>IF(K$6=投資情報!$W$5+1,投資情報!$N$68*基礎情報!$J$4*基礎情報!$J$5,0)</f>
        <v>0</v>
      </c>
      <c r="L90" s="324">
        <f>IF(L$6=投資情報!$W$5+1,投資情報!$N$68*基礎情報!$J$4*基礎情報!$J$5,0)</f>
        <v>0</v>
      </c>
      <c r="M90" s="324">
        <f>IF(M$6=投資情報!$W$5+1,投資情報!$N$68*基礎情報!$J$4*基礎情報!$J$5,0)</f>
        <v>0</v>
      </c>
      <c r="N90" s="324">
        <f>IF(N$6=投資情報!$W$5+1,投資情報!$N$68*基礎情報!$J$4*基礎情報!$J$5,0)</f>
        <v>0</v>
      </c>
      <c r="O90" s="324">
        <f>IF(O$6=投資情報!$W$5+1,投資情報!$N$68*基礎情報!$J$4*基礎情報!$J$5,0)</f>
        <v>0</v>
      </c>
    </row>
    <row r="91" spans="3:38" ht="27">
      <c r="C91" s="336" t="s">
        <v>80</v>
      </c>
      <c r="D91" s="362"/>
      <c r="E91" s="324">
        <f>IF(E$6=投資情報!$I$5+1,投資情報!$W$61,0)</f>
        <v>0</v>
      </c>
      <c r="F91" s="324">
        <f>IF(F$6=投資情報!$I$5+1,投資情報!$W$61,0)</f>
        <v>0</v>
      </c>
      <c r="G91" s="324">
        <f>IF(G$6=投資情報!$I$5+1,投資情報!$W$61,0)</f>
        <v>0</v>
      </c>
      <c r="H91" s="324">
        <f>IF(H$6=投資情報!$I$5+1,投資情報!$W$61,0)</f>
        <v>0</v>
      </c>
      <c r="I91" s="324">
        <f>IF(I$6=投資情報!$I$5+1,投資情報!$W$61,0)</f>
        <v>0</v>
      </c>
      <c r="J91" s="324">
        <f>IF(J$6=投資情報!$I$5+1,投資情報!$W$61,0)</f>
        <v>0</v>
      </c>
      <c r="K91" s="324">
        <f>IF(K$6=投資情報!$I$5+1,投資情報!$W$61,0)</f>
        <v>0</v>
      </c>
      <c r="L91" s="324">
        <f>IF(L$6=投資情報!$I$5+1,投資情報!$W$61,0)</f>
        <v>0</v>
      </c>
      <c r="M91" s="324">
        <f>IF(M$6=投資情報!$I$5+1,投資情報!$W$61,0)</f>
        <v>0</v>
      </c>
      <c r="N91" s="324">
        <f>IF(N$6=投資情報!$I$5+1,投資情報!$W$61,0)</f>
        <v>0</v>
      </c>
      <c r="O91" s="324">
        <f>IF(O$6=投資情報!$I$5+1,投資情報!$W$61,0)</f>
        <v>0</v>
      </c>
    </row>
    <row r="92" spans="3:38">
      <c r="C92" s="335" t="s">
        <v>178</v>
      </c>
      <c r="D92" s="362">
        <v>0</v>
      </c>
      <c r="E92" s="324">
        <f>IF(E$47=0,0,投資情報!$W$60)</f>
        <v>0</v>
      </c>
      <c r="F92" s="324">
        <f>IF(F$47=0,0,投資情報!$W$60)</f>
        <v>0</v>
      </c>
      <c r="G92" s="324">
        <f>IF(G$47=0,0,投資情報!$W$60)</f>
        <v>0</v>
      </c>
      <c r="H92" s="324">
        <f>IF(H$47=0,0,投資情報!$W$60)</f>
        <v>0</v>
      </c>
      <c r="I92" s="324">
        <f>IF(I$47=0,0,投資情報!$W$60)</f>
        <v>0</v>
      </c>
      <c r="J92" s="324">
        <f>IF(J$47=0,0,投資情報!$W$60)</f>
        <v>0</v>
      </c>
      <c r="K92" s="324">
        <f>IF(K$47=0,0,投資情報!$W$60)</f>
        <v>0</v>
      </c>
      <c r="L92" s="324">
        <f>IF(L$47=0,0,投資情報!$W$60)</f>
        <v>0</v>
      </c>
      <c r="M92" s="324">
        <f>IF(M$47=0,0,投資情報!$W$60)</f>
        <v>0</v>
      </c>
      <c r="N92" s="324">
        <f>IF(N$47=0,0,投資情報!$W$60)</f>
        <v>0</v>
      </c>
      <c r="O92" s="324">
        <f>IF(O$47=0,0,投資情報!$W$60)</f>
        <v>0</v>
      </c>
    </row>
    <row r="93" spans="3:38" ht="27">
      <c r="C93" s="335" t="s">
        <v>445</v>
      </c>
      <c r="D93" s="362">
        <v>0</v>
      </c>
      <c r="E93" s="324">
        <f>IF(E$6&gt;=投資情報!$I$5+1,投資情報!$W$45,0)</f>
        <v>0</v>
      </c>
      <c r="F93" s="324">
        <f>IF(F$6&gt;=投資情報!$I$5+1,投資情報!$W$45,0)</f>
        <v>0</v>
      </c>
      <c r="G93" s="324">
        <f>IF(G$6&gt;=投資情報!$I$5+1,投資情報!$W$45,0)</f>
        <v>0</v>
      </c>
      <c r="H93" s="324">
        <f>IF(H$6&gt;=投資情報!$I$5+1,投資情報!$W$45,0)</f>
        <v>0</v>
      </c>
      <c r="I93" s="324">
        <f>IF(I$6&gt;=投資情報!$I$5+1,投資情報!$W$45,0)</f>
        <v>0</v>
      </c>
      <c r="J93" s="324">
        <f>IF(J$6&gt;=投資情報!$I$5+1,投資情報!$W$45,0)</f>
        <v>0</v>
      </c>
      <c r="K93" s="324">
        <f>IF(K$6&gt;=投資情報!$I$5+1,投資情報!$W$45,0)</f>
        <v>0</v>
      </c>
      <c r="L93" s="324">
        <f>IF(L$6&gt;=投資情報!$I$5+1,投資情報!$W$45,0)</f>
        <v>0</v>
      </c>
      <c r="M93" s="324">
        <f>IF(M$6&gt;=投資情報!$I$5+1,投資情報!$W$45,0)</f>
        <v>0</v>
      </c>
      <c r="N93" s="324">
        <f>IF(N$6&gt;=投資情報!$I$5+1,投資情報!$W$45,0)</f>
        <v>0</v>
      </c>
      <c r="O93" s="324">
        <f>IF(O$6&gt;=投資情報!$I$5+1,投資情報!$W$45,0)</f>
        <v>0</v>
      </c>
    </row>
    <row r="94" spans="3:38" ht="27">
      <c r="C94" s="335" t="s">
        <v>446</v>
      </c>
      <c r="D94" s="362">
        <v>0</v>
      </c>
      <c r="E94" s="324">
        <f>IF(E$6&gt;=投資情報!$W$5+1,投資情報!$W$47,0)</f>
        <v>0</v>
      </c>
      <c r="F94" s="324">
        <f>IF(F$6&gt;=投資情報!$W$5+1,投資情報!$W$47,0)</f>
        <v>0</v>
      </c>
      <c r="G94" s="324">
        <f>IF(G$6&gt;=投資情報!$W$5+1,投資情報!$W$47,0)</f>
        <v>0</v>
      </c>
      <c r="H94" s="324">
        <f>IF(H$6&gt;=投資情報!$W$5+1,投資情報!$W$47,0)</f>
        <v>0</v>
      </c>
      <c r="I94" s="324">
        <f>IF(I$6&gt;=投資情報!$W$5+1,投資情報!$W$47,0)</f>
        <v>0</v>
      </c>
      <c r="J94" s="324">
        <f>IF(J$6&gt;=投資情報!$W$5+1,投資情報!$W$47,0)</f>
        <v>0</v>
      </c>
      <c r="K94" s="324">
        <f>IF(K$6&gt;=投資情報!$W$5+1,投資情報!$W$47,0)</f>
        <v>0</v>
      </c>
      <c r="L94" s="324">
        <f>IF(L$6&gt;=投資情報!$W$5+1,投資情報!$W$47,0)</f>
        <v>0</v>
      </c>
      <c r="M94" s="324">
        <f>IF(M$6&gt;=投資情報!$W$5+1,投資情報!$W$47,0)</f>
        <v>0</v>
      </c>
      <c r="N94" s="324">
        <f>IF(N$6&gt;=投資情報!$W$5+1,投資情報!$W$47,0)</f>
        <v>0</v>
      </c>
      <c r="O94" s="324">
        <f>IF(O$6&gt;=投資情報!$W$5+1,投資情報!$W$47,0)</f>
        <v>0</v>
      </c>
    </row>
    <row r="95" spans="3:38" ht="27">
      <c r="C95" s="335" t="s">
        <v>747</v>
      </c>
      <c r="D95" s="362">
        <v>0</v>
      </c>
      <c r="E95" s="324">
        <f>IF(E$6&gt;=投資情報!$I$5+1,投資情報!$W$49,0)</f>
        <v>0</v>
      </c>
      <c r="F95" s="324">
        <f>IF(F$6&gt;=投資情報!$I$5+1,投資情報!$W$49,0)</f>
        <v>150000</v>
      </c>
      <c r="G95" s="324">
        <f>IF(G$6&gt;=投資情報!$I$5+1,投資情報!$W$49,0)</f>
        <v>150000</v>
      </c>
      <c r="H95" s="324">
        <f>IF(H$6&gt;=投資情報!$I$5+1,投資情報!$W$49,0)</f>
        <v>150000</v>
      </c>
      <c r="I95" s="324">
        <f>IF(I$6&gt;=投資情報!$I$5+1,投資情報!$W$49,0)</f>
        <v>150000</v>
      </c>
      <c r="J95" s="324">
        <f>IF(J$6&gt;=投資情報!$I$5+1,投資情報!$W$49,0)</f>
        <v>150000</v>
      </c>
      <c r="K95" s="324">
        <f>IF(K$6&gt;=投資情報!$I$5+1,投資情報!$W$49,0)</f>
        <v>150000</v>
      </c>
      <c r="L95" s="324">
        <f>IF(L$6&gt;=投資情報!$I$5+1,投資情報!$W$49,0)</f>
        <v>150000</v>
      </c>
      <c r="M95" s="324">
        <f>IF(M$6&gt;=投資情報!$I$5+1,投資情報!$W$49,0)</f>
        <v>150000</v>
      </c>
      <c r="N95" s="324">
        <f>IF(N$6&gt;=投資情報!$I$5+1,投資情報!$W$49,0)</f>
        <v>150000</v>
      </c>
      <c r="O95" s="324">
        <f>IF(O$6&gt;=投資情報!$I$5+1,投資情報!$W$49,0)</f>
        <v>150000</v>
      </c>
    </row>
    <row r="96" spans="3:38" ht="27">
      <c r="C96" s="335" t="s">
        <v>748</v>
      </c>
      <c r="D96" s="362">
        <v>0</v>
      </c>
      <c r="E96" s="324">
        <f>IF(E$6&gt;=投資情報!$W$5+1,投資情報!$W$51,0)</f>
        <v>0</v>
      </c>
      <c r="F96" s="324">
        <f>IF(F$6&gt;=投資情報!$W$5+1,投資情報!$W$51,0)</f>
        <v>0</v>
      </c>
      <c r="G96" s="324">
        <f>IF(G$6&gt;=投資情報!$W$5+1,投資情報!$W$51,0)</f>
        <v>0</v>
      </c>
      <c r="H96" s="324">
        <f>IF(H$6&gt;=投資情報!$W$5+1,投資情報!$W$51,0)</f>
        <v>0</v>
      </c>
      <c r="I96" s="324">
        <f>IF(I$6&gt;=投資情報!$W$5+1,投資情報!$W$51,0)</f>
        <v>0</v>
      </c>
      <c r="J96" s="324">
        <f>IF(J$6&gt;=投資情報!$W$5+1,投資情報!$W$51,0)</f>
        <v>0</v>
      </c>
      <c r="K96" s="324">
        <f>IF(K$6&gt;=投資情報!$W$5+1,投資情報!$W$51,0)</f>
        <v>0</v>
      </c>
      <c r="L96" s="324">
        <f>IF(L$6&gt;=投資情報!$W$5+1,投資情報!$W$51,0)</f>
        <v>0</v>
      </c>
      <c r="M96" s="324">
        <f>IF(M$6&gt;=投資情報!$W$5+1,投資情報!$W$51,0)</f>
        <v>0</v>
      </c>
      <c r="N96" s="324">
        <f>IF(N$6&gt;=投資情報!$W$5+1,投資情報!$W$51,0)</f>
        <v>0</v>
      </c>
      <c r="O96" s="324">
        <f>IF(O$6&gt;=投資情報!$W$5+1,投資情報!$W$51,0)</f>
        <v>0</v>
      </c>
    </row>
    <row r="97" spans="2:61" ht="27">
      <c r="C97" s="335" t="s">
        <v>288</v>
      </c>
      <c r="D97" s="362">
        <v>0</v>
      </c>
      <c r="E97" s="324">
        <f>IF(E$6&gt;=投資情報!$I$5+1,投資情報!$W$53,0)</f>
        <v>0</v>
      </c>
      <c r="F97" s="324">
        <f>IF(F$6&gt;=投資情報!$I$5+1,投資情報!$W$53,0)</f>
        <v>120000</v>
      </c>
      <c r="G97" s="324">
        <f>IF(G$6&gt;=投資情報!$I$5+1,投資情報!$W$53,0)</f>
        <v>120000</v>
      </c>
      <c r="H97" s="324">
        <f>IF(H$6&gt;=投資情報!$I$5+1,投資情報!$W$53,0)</f>
        <v>120000</v>
      </c>
      <c r="I97" s="324">
        <f>IF(I$6&gt;=投資情報!$I$5+1,投資情報!$W$53,0)</f>
        <v>120000</v>
      </c>
      <c r="J97" s="324">
        <f>IF(J$6&gt;=投資情報!$I$5+1,投資情報!$W$53,0)</f>
        <v>120000</v>
      </c>
      <c r="K97" s="324">
        <f>IF(K$6&gt;=投資情報!$I$5+1,投資情報!$W$53,0)</f>
        <v>120000</v>
      </c>
      <c r="L97" s="324">
        <f>IF(L$6&gt;=投資情報!$I$5+1,投資情報!$W$53,0)</f>
        <v>120000</v>
      </c>
      <c r="M97" s="324">
        <f>IF(M$6&gt;=投資情報!$I$5+1,投資情報!$W$53,0)</f>
        <v>120000</v>
      </c>
      <c r="N97" s="324">
        <f>IF(N$6&gt;=投資情報!$I$5+1,投資情報!$W$53,0)</f>
        <v>120000</v>
      </c>
      <c r="O97" s="324">
        <f>IF(O$6&gt;=投資情報!$I$5+1,投資情報!$W$53,0)</f>
        <v>120000</v>
      </c>
    </row>
    <row r="98" spans="2:61" ht="27">
      <c r="C98" s="335" t="s">
        <v>289</v>
      </c>
      <c r="D98" s="362">
        <v>0</v>
      </c>
      <c r="E98" s="324">
        <f>IF(E$6&gt;=投資情報!$W$5+1,投資情報!$W$55,0)</f>
        <v>0</v>
      </c>
      <c r="F98" s="324">
        <f>IF(F$6&gt;=投資情報!$W$5+1,投資情報!$W$55,0)</f>
        <v>0</v>
      </c>
      <c r="G98" s="324">
        <f>IF(G$6&gt;=投資情報!$W$5+1,投資情報!$W$55,0)</f>
        <v>0</v>
      </c>
      <c r="H98" s="324">
        <f>IF(H$6&gt;=投資情報!$W$5+1,投資情報!$W$55,0)</f>
        <v>0</v>
      </c>
      <c r="I98" s="324">
        <f>IF(I$6&gt;=投資情報!$W$5+1,投資情報!$W$55,0)</f>
        <v>0</v>
      </c>
      <c r="J98" s="324">
        <f>IF(J$6&gt;=投資情報!$W$5+1,投資情報!$W$55,0)</f>
        <v>0</v>
      </c>
      <c r="K98" s="324">
        <f>IF(K$6&gt;=投資情報!$W$5+1,投資情報!$W$55,0)</f>
        <v>0</v>
      </c>
      <c r="L98" s="324">
        <f>IF(L$6&gt;=投資情報!$W$5+1,投資情報!$W$55,0)</f>
        <v>0</v>
      </c>
      <c r="M98" s="324">
        <f>IF(M$6&gt;=投資情報!$W$5+1,投資情報!$W$55,0)</f>
        <v>0</v>
      </c>
      <c r="N98" s="324">
        <f>IF(N$6&gt;=投資情報!$W$5+1,投資情報!$W$55,0)</f>
        <v>0</v>
      </c>
      <c r="O98" s="324">
        <f>IF(O$6&gt;=投資情報!$W$5+1,投資情報!$W$55,0)</f>
        <v>0</v>
      </c>
    </row>
    <row r="99" spans="2:61">
      <c r="C99" s="335" t="s">
        <v>447</v>
      </c>
      <c r="D99" s="362">
        <v>0</v>
      </c>
      <c r="E99" s="324">
        <f>IF(E$6&gt;=投資情報!$I$5+1,投資情報!$W$57,0)</f>
        <v>0</v>
      </c>
      <c r="F99" s="324">
        <f>IF(F$6&gt;=投資情報!$I$5+1,投資情報!$W$57,0)</f>
        <v>0</v>
      </c>
      <c r="G99" s="324">
        <f>IF(G$6&gt;=投資情報!$I$5+1,投資情報!$W$57,0)</f>
        <v>0</v>
      </c>
      <c r="H99" s="324">
        <f>IF(H$6&gt;=投資情報!$I$5+1,投資情報!$W$57,0)</f>
        <v>0</v>
      </c>
      <c r="I99" s="324">
        <f>IF(I$6&gt;=投資情報!$I$5+1,投資情報!$W$57,0)</f>
        <v>0</v>
      </c>
      <c r="J99" s="324">
        <f>IF(J$6&gt;=投資情報!$I$5+1,投資情報!$W$57,0)</f>
        <v>0</v>
      </c>
      <c r="K99" s="324">
        <f>IF(K$6&gt;=投資情報!$I$5+1,投資情報!$W$57,0)</f>
        <v>0</v>
      </c>
      <c r="L99" s="324">
        <f>IF(L$6&gt;=投資情報!$I$5+1,投資情報!$W$57,0)</f>
        <v>0</v>
      </c>
      <c r="M99" s="324">
        <f>IF(M$6&gt;=投資情報!$I$5+1,投資情報!$W$57,0)</f>
        <v>0</v>
      </c>
      <c r="N99" s="324">
        <f>IF(N$6&gt;=投資情報!$I$5+1,投資情報!$W$57,0)</f>
        <v>0</v>
      </c>
      <c r="O99" s="324">
        <f>IF(O$6&gt;=投資情報!$I$5+1,投資情報!$W$57,0)</f>
        <v>0</v>
      </c>
    </row>
    <row r="100" spans="2:61" ht="27">
      <c r="C100" s="335" t="s">
        <v>367</v>
      </c>
      <c r="D100" s="362">
        <v>0</v>
      </c>
      <c r="E100" s="324">
        <f>IF(OR(E$6&gt;=投資情報!$I$5+1,E$6&gt;=投資情報!$W$5+1),投資情報!$N$69*基礎情報!$J$4*基礎情報!$J$5,0)</f>
        <v>0</v>
      </c>
      <c r="F100" s="324">
        <f>IF(OR(F$6&gt;=投資情報!$I$5+1,F$6&gt;=投資情報!$W$5+1),投資情報!$N$69*基礎情報!$J$4*基礎情報!$J$5,0)</f>
        <v>0</v>
      </c>
      <c r="G100" s="324">
        <f>IF(OR(G$6&gt;=投資情報!$I$5+1,G$6&gt;=投資情報!$W$5+1),投資情報!$N$69*基礎情報!$J$4*基礎情報!$J$5,0)</f>
        <v>0</v>
      </c>
      <c r="H100" s="324">
        <f>IF(OR(H$6&gt;=投資情報!$I$5+1,H$6&gt;=投資情報!$W$5+1),投資情報!$N$69*基礎情報!$J$4*基礎情報!$J$5,0)</f>
        <v>0</v>
      </c>
      <c r="I100" s="324">
        <f>IF(OR(I$6&gt;=投資情報!$I$5+1,I$6&gt;=投資情報!$W$5+1),投資情報!$N$69*基礎情報!$J$4*基礎情報!$J$5,0)</f>
        <v>0</v>
      </c>
      <c r="J100" s="324">
        <f>IF(OR(J$6&gt;=投資情報!$I$5+1,J$6&gt;=投資情報!$W$5+1),投資情報!$N$69*基礎情報!$J$4*基礎情報!$J$5,0)</f>
        <v>0</v>
      </c>
      <c r="K100" s="324">
        <f>IF(OR(K$6&gt;=投資情報!$I$5+1,K$6&gt;=投資情報!$W$5+1),投資情報!$N$69*基礎情報!$J$4*基礎情報!$J$5,0)</f>
        <v>0</v>
      </c>
      <c r="L100" s="324">
        <f>IF(OR(L$6&gt;=投資情報!$I$5+1,L$6&gt;=投資情報!$W$5+1),投資情報!$N$69*基礎情報!$J$4*基礎情報!$J$5,0)</f>
        <v>0</v>
      </c>
      <c r="M100" s="324">
        <f>IF(OR(M$6&gt;=投資情報!$I$5+1,M$6&gt;=投資情報!$W$5+1),投資情報!$N$69*基礎情報!$J$4*基礎情報!$J$5,0)</f>
        <v>0</v>
      </c>
      <c r="N100" s="324">
        <f>IF(OR(N$6&gt;=投資情報!$I$5+1,N$6&gt;=投資情報!$W$5+1),投資情報!$N$69*基礎情報!$J$4*基礎情報!$J$5,0)</f>
        <v>0</v>
      </c>
      <c r="O100" s="324">
        <f>IF(OR(O$6&gt;=投資情報!$I$5+1,O$6&gt;=投資情報!$W$5+1),投資情報!$N$69*基礎情報!$J$4*基礎情報!$J$5,0)</f>
        <v>0</v>
      </c>
    </row>
    <row r="101" spans="2:61" ht="27">
      <c r="C101" s="335" t="s">
        <v>368</v>
      </c>
      <c r="D101" s="362">
        <v>0</v>
      </c>
      <c r="E101" s="324">
        <f>IF(OR(E$6&gt;=投資情報!$I$5+1,E$6&gt;=投資情報!$W$5+1),投資情報!$N$70*基礎情報!$J$4*基礎情報!$J$5,0)</f>
        <v>0</v>
      </c>
      <c r="F101" s="324">
        <f>IF(OR(F$6&gt;=投資情報!$I$5+1,F$6&gt;=投資情報!$W$5+1),投資情報!$N$70*基礎情報!$J$4*基礎情報!$J$5,0)</f>
        <v>0</v>
      </c>
      <c r="G101" s="324">
        <f>IF(OR(G$6&gt;=投資情報!$I$5+1,G$6&gt;=投資情報!$W$5+1),投資情報!$N$70*基礎情報!$J$4*基礎情報!$J$5,0)</f>
        <v>0</v>
      </c>
      <c r="H101" s="324">
        <f>IF(OR(H$6&gt;=投資情報!$I$5+1,H$6&gt;=投資情報!$W$5+1),投資情報!$N$70*基礎情報!$J$4*基礎情報!$J$5,0)</f>
        <v>0</v>
      </c>
      <c r="I101" s="324">
        <f>IF(OR(I$6&gt;=投資情報!$I$5+1,I$6&gt;=投資情報!$W$5+1),投資情報!$N$70*基礎情報!$J$4*基礎情報!$J$5,0)</f>
        <v>0</v>
      </c>
      <c r="J101" s="324">
        <f>IF(OR(J$6&gt;=投資情報!$I$5+1,J$6&gt;=投資情報!$W$5+1),投資情報!$N$70*基礎情報!$J$4*基礎情報!$J$5,0)</f>
        <v>0</v>
      </c>
      <c r="K101" s="324">
        <f>IF(OR(K$6&gt;=投資情報!$I$5+1,K$6&gt;=投資情報!$W$5+1),投資情報!$N$70*基礎情報!$J$4*基礎情報!$J$5,0)</f>
        <v>0</v>
      </c>
      <c r="L101" s="324">
        <f>IF(OR(L$6&gt;=投資情報!$I$5+1,L$6&gt;=投資情報!$W$5+1),投資情報!$N$70*基礎情報!$J$4*基礎情報!$J$5,0)</f>
        <v>0</v>
      </c>
      <c r="M101" s="324">
        <f>IF(OR(M$6&gt;=投資情報!$I$5+1,M$6&gt;=投資情報!$W$5+1),投資情報!$N$70*基礎情報!$J$4*基礎情報!$J$5,0)</f>
        <v>0</v>
      </c>
      <c r="N101" s="324">
        <f>IF(OR(N$6&gt;=投資情報!$I$5+1,N$6&gt;=投資情報!$W$5+1),投資情報!$N$70*基礎情報!$J$4*基礎情報!$J$5,0)</f>
        <v>0</v>
      </c>
      <c r="O101" s="324">
        <f>IF(OR(O$6&gt;=投資情報!$I$5+1,O$6&gt;=投資情報!$W$5+1),投資情報!$N$70*基礎情報!$J$4*基礎情報!$J$5,0)</f>
        <v>0</v>
      </c>
    </row>
    <row r="102" spans="2:61" ht="27">
      <c r="C102" s="335" t="s">
        <v>369</v>
      </c>
      <c r="D102" s="362">
        <v>0</v>
      </c>
      <c r="E102" s="324">
        <f>IF(OR(E$6&gt;=投資情報!$I$5+1,E$6&gt;=投資情報!$W$5+1),投資情報!$N$71*基礎情報!$J$4*基礎情報!$J$5,0)</f>
        <v>0</v>
      </c>
      <c r="F102" s="324">
        <f>IF(OR(F$6&gt;=投資情報!$I$5+1,F$6&gt;=投資情報!$W$5+1),投資情報!$N$71*基礎情報!$J$4*基礎情報!$J$5,0)</f>
        <v>0</v>
      </c>
      <c r="G102" s="324">
        <f>IF(OR(G$6&gt;=投資情報!$I$5+1,G$6&gt;=投資情報!$W$5+1),投資情報!$N$71*基礎情報!$J$4*基礎情報!$J$5,0)</f>
        <v>0</v>
      </c>
      <c r="H102" s="324">
        <f>IF(OR(H$6&gt;=投資情報!$I$5+1,H$6&gt;=投資情報!$W$5+1),投資情報!$N$71*基礎情報!$J$4*基礎情報!$J$5,0)</f>
        <v>0</v>
      </c>
      <c r="I102" s="324">
        <f>IF(OR(I$6&gt;=投資情報!$I$5+1,I$6&gt;=投資情報!$W$5+1),投資情報!$N$71*基礎情報!$J$4*基礎情報!$J$5,0)</f>
        <v>0</v>
      </c>
      <c r="J102" s="324">
        <f>IF(OR(J$6&gt;=投資情報!$I$5+1,J$6&gt;=投資情報!$W$5+1),投資情報!$N$71*基礎情報!$J$4*基礎情報!$J$5,0)</f>
        <v>0</v>
      </c>
      <c r="K102" s="324">
        <f>IF(OR(K$6&gt;=投資情報!$I$5+1,K$6&gt;=投資情報!$W$5+1),投資情報!$N$71*基礎情報!$J$4*基礎情報!$J$5,0)</f>
        <v>0</v>
      </c>
      <c r="L102" s="324">
        <f>IF(OR(L$6&gt;=投資情報!$I$5+1,L$6&gt;=投資情報!$W$5+1),投資情報!$N$71*基礎情報!$J$4*基礎情報!$J$5,0)</f>
        <v>0</v>
      </c>
      <c r="M102" s="324">
        <f>IF(OR(M$6&gt;=投資情報!$I$5+1,M$6&gt;=投資情報!$W$5+1),投資情報!$N$71*基礎情報!$J$4*基礎情報!$J$5,0)</f>
        <v>0</v>
      </c>
      <c r="N102" s="324">
        <f>IF(OR(N$6&gt;=投資情報!$I$5+1,N$6&gt;=投資情報!$W$5+1),投資情報!$N$71*基礎情報!$J$4*基礎情報!$J$5,0)</f>
        <v>0</v>
      </c>
      <c r="O102" s="324">
        <f>IF(OR(O$6&gt;=投資情報!$I$5+1,O$6&gt;=投資情報!$W$5+1),投資情報!$N$71*基礎情報!$J$4*基礎情報!$J$5,0)</f>
        <v>0</v>
      </c>
    </row>
    <row r="103" spans="2:61" ht="27">
      <c r="C103" s="335" t="s">
        <v>81</v>
      </c>
      <c r="D103" s="362"/>
      <c r="E103" s="324">
        <f>IF(E$47=0,0,投資情報!$W$62)</f>
        <v>0</v>
      </c>
      <c r="F103" s="324">
        <f>IF(F$47=0,0,投資情報!$W$62)</f>
        <v>0</v>
      </c>
      <c r="G103" s="324">
        <f>IF(G$47=0,0,投資情報!$W$62)</f>
        <v>0</v>
      </c>
      <c r="H103" s="324">
        <f>IF(H$47=0,0,投資情報!$W$62)</f>
        <v>0</v>
      </c>
      <c r="I103" s="324">
        <f>IF(I$47=0,0,投資情報!$W$62)</f>
        <v>0</v>
      </c>
      <c r="J103" s="324">
        <f>IF(J$47=0,0,投資情報!$W$62)</f>
        <v>0</v>
      </c>
      <c r="K103" s="324">
        <f>IF(K$47=0,0,投資情報!$W$62)</f>
        <v>0</v>
      </c>
      <c r="L103" s="324">
        <f>IF(L$47=0,0,投資情報!$W$62)</f>
        <v>0</v>
      </c>
      <c r="M103" s="324">
        <f>IF(M$47=0,0,投資情報!$W$62)</f>
        <v>0</v>
      </c>
      <c r="N103" s="324">
        <f>IF(N$47=0,0,投資情報!$W$62)</f>
        <v>0</v>
      </c>
      <c r="O103" s="324">
        <f>IF(O$47=0,0,投資情報!$W$62)</f>
        <v>0</v>
      </c>
    </row>
    <row r="104" spans="2:61">
      <c r="C104" s="19" t="s">
        <v>754</v>
      </c>
      <c r="D104" s="362">
        <v>0</v>
      </c>
      <c r="E104" s="324">
        <f ca="1">SUMIF($C$79:$N$103,"*"&amp;"初期"&amp;"*",E79:E103)</f>
        <v>0</v>
      </c>
      <c r="F104" s="324">
        <f t="shared" ref="F104:O104" ca="1" si="33">SUMIF($C$79:$N$103,"*"&amp;"初期"&amp;"*",F79:F103)</f>
        <v>1630000</v>
      </c>
      <c r="G104" s="324">
        <f t="shared" ca="1" si="33"/>
        <v>0</v>
      </c>
      <c r="H104" s="324">
        <f t="shared" ca="1" si="33"/>
        <v>0</v>
      </c>
      <c r="I104" s="324">
        <f t="shared" ca="1" si="33"/>
        <v>0</v>
      </c>
      <c r="J104" s="324">
        <f t="shared" ca="1" si="33"/>
        <v>0</v>
      </c>
      <c r="K104" s="324">
        <f t="shared" ca="1" si="33"/>
        <v>0</v>
      </c>
      <c r="L104" s="324">
        <f t="shared" ca="1" si="33"/>
        <v>0</v>
      </c>
      <c r="M104" s="324">
        <f t="shared" ca="1" si="33"/>
        <v>0</v>
      </c>
      <c r="N104" s="324">
        <f t="shared" ca="1" si="33"/>
        <v>0</v>
      </c>
      <c r="O104" s="324">
        <f t="shared" ca="1" si="33"/>
        <v>0</v>
      </c>
    </row>
    <row r="105" spans="2:61">
      <c r="C105" s="19" t="s">
        <v>755</v>
      </c>
      <c r="D105" s="362">
        <v>0</v>
      </c>
      <c r="E105" s="324">
        <f ca="1">SUMIF($C$79:$N$103,"*"&amp;"年額"&amp;"*",E$79:E$103)</f>
        <v>0</v>
      </c>
      <c r="F105" s="324">
        <f t="shared" ref="F105:O105" ca="1" si="34">SUMIF($C$79:$N$103,"*"&amp;"年額"&amp;"*",F$79:F$103)</f>
        <v>270000</v>
      </c>
      <c r="G105" s="324">
        <f t="shared" ca="1" si="34"/>
        <v>270000</v>
      </c>
      <c r="H105" s="324">
        <f t="shared" ca="1" si="34"/>
        <v>270000</v>
      </c>
      <c r="I105" s="324">
        <f t="shared" ca="1" si="34"/>
        <v>270000</v>
      </c>
      <c r="J105" s="324">
        <f t="shared" ca="1" si="34"/>
        <v>270000</v>
      </c>
      <c r="K105" s="324">
        <f t="shared" ca="1" si="34"/>
        <v>270000</v>
      </c>
      <c r="L105" s="324">
        <f t="shared" ca="1" si="34"/>
        <v>270000</v>
      </c>
      <c r="M105" s="324">
        <f t="shared" ca="1" si="34"/>
        <v>270000</v>
      </c>
      <c r="N105" s="324">
        <f t="shared" ca="1" si="34"/>
        <v>270000</v>
      </c>
      <c r="O105" s="324">
        <f t="shared" ca="1" si="34"/>
        <v>270000</v>
      </c>
    </row>
    <row r="106" spans="2:61">
      <c r="C106" s="19" t="s">
        <v>474</v>
      </c>
      <c r="D106" s="362">
        <v>0</v>
      </c>
      <c r="E106" s="324">
        <f ca="1">E104+E105</f>
        <v>0</v>
      </c>
      <c r="F106" s="324">
        <f t="shared" ref="F106:O106" ca="1" si="35">E106+F104+F105</f>
        <v>1900000</v>
      </c>
      <c r="G106" s="324">
        <f t="shared" ca="1" si="35"/>
        <v>2170000</v>
      </c>
      <c r="H106" s="324">
        <f t="shared" ca="1" si="35"/>
        <v>2440000</v>
      </c>
      <c r="I106" s="324">
        <f t="shared" ca="1" si="35"/>
        <v>2710000</v>
      </c>
      <c r="J106" s="324">
        <f t="shared" ca="1" si="35"/>
        <v>2980000</v>
      </c>
      <c r="K106" s="324">
        <f t="shared" ca="1" si="35"/>
        <v>3250000</v>
      </c>
      <c r="L106" s="324">
        <f t="shared" ca="1" si="35"/>
        <v>3520000</v>
      </c>
      <c r="M106" s="324">
        <f t="shared" ca="1" si="35"/>
        <v>3790000</v>
      </c>
      <c r="N106" s="324">
        <f t="shared" ca="1" si="35"/>
        <v>4060000</v>
      </c>
      <c r="O106" s="324">
        <f t="shared" ca="1" si="35"/>
        <v>4330000</v>
      </c>
      <c r="AB106" s="327"/>
      <c r="AC106" s="327"/>
      <c r="AD106" s="327"/>
      <c r="AE106" s="327"/>
      <c r="AF106" s="327"/>
      <c r="AG106" s="327"/>
      <c r="AH106" s="327"/>
      <c r="AI106" s="327"/>
      <c r="AJ106" s="327"/>
      <c r="AK106" s="327"/>
      <c r="AL106" s="327"/>
      <c r="AM106" s="327"/>
      <c r="AN106" s="327"/>
      <c r="AO106" s="327"/>
      <c r="AP106" s="327"/>
      <c r="AQ106" s="327"/>
      <c r="AR106" s="327"/>
      <c r="AS106" s="327"/>
      <c r="AT106" s="327"/>
      <c r="AU106" s="327"/>
      <c r="AV106" s="327"/>
      <c r="AW106" s="327"/>
      <c r="AX106" s="327"/>
      <c r="AY106" s="327"/>
      <c r="AZ106" s="327"/>
      <c r="BA106" s="327"/>
      <c r="BB106" s="327"/>
      <c r="BC106" s="327"/>
      <c r="BD106" s="327"/>
      <c r="BE106" s="327"/>
      <c r="BF106" s="327"/>
      <c r="BG106" s="327"/>
      <c r="BH106" s="327"/>
      <c r="BI106" s="327"/>
    </row>
    <row r="107" spans="2:61">
      <c r="C107" s="19" t="s">
        <v>753</v>
      </c>
      <c r="D107" s="362">
        <v>0</v>
      </c>
      <c r="E107" s="330">
        <f ca="1">E$44-E106</f>
        <v>0</v>
      </c>
      <c r="F107" s="330">
        <f t="shared" ref="F107:O107" ca="1" si="36">F$44-F106</f>
        <v>-1900000</v>
      </c>
      <c r="G107" s="330">
        <f t="shared" ca="1" si="36"/>
        <v>-1474639</v>
      </c>
      <c r="H107" s="330">
        <f t="shared" ca="1" si="36"/>
        <v>-847399</v>
      </c>
      <c r="I107" s="330">
        <f t="shared" ca="1" si="36"/>
        <v>4151</v>
      </c>
      <c r="J107" s="330">
        <f t="shared" ca="1" si="36"/>
        <v>1080011</v>
      </c>
      <c r="K107" s="330">
        <f t="shared" ca="1" si="36"/>
        <v>2155871</v>
      </c>
      <c r="L107" s="330">
        <f t="shared" ca="1" si="36"/>
        <v>3231731</v>
      </c>
      <c r="M107" s="330">
        <f t="shared" ca="1" si="36"/>
        <v>4307591</v>
      </c>
      <c r="N107" s="330">
        <f t="shared" ca="1" si="36"/>
        <v>5383451</v>
      </c>
      <c r="O107" s="330">
        <f t="shared" ca="1" si="36"/>
        <v>6459311</v>
      </c>
    </row>
    <row r="108" spans="2:61" s="327" customFormat="1" ht="27">
      <c r="B108" s="327" t="s">
        <v>436</v>
      </c>
      <c r="C108" s="336" t="s">
        <v>177</v>
      </c>
      <c r="D108" s="363">
        <v>0</v>
      </c>
      <c r="E108" s="328">
        <f>IF(MOD($E$49-E$6,投資情報!$I$4),0,投資情報!$W$93)</f>
        <v>0</v>
      </c>
      <c r="F108" s="328">
        <f>IF(MOD($E$49-F$6,投資情報!$I$4),0,投資情報!$W$93)</f>
        <v>0</v>
      </c>
      <c r="G108" s="328">
        <f>IF(MOD($E$49-G$6,投資情報!$I$4),0,投資情報!$W$93)</f>
        <v>0</v>
      </c>
      <c r="H108" s="328">
        <f>IF(MOD($E$49-H$6,投資情報!$I$4),0,投資情報!$W$93)</f>
        <v>0</v>
      </c>
      <c r="I108" s="328">
        <f>IF(MOD($E$49-I$6,投資情報!$I$4),0,投資情報!$W$93)</f>
        <v>0</v>
      </c>
      <c r="J108" s="328">
        <f>IF(MOD($E$49-J$6,投資情報!$I$4),0,投資情報!$W$93)</f>
        <v>0</v>
      </c>
      <c r="K108" s="328">
        <f>IF(MOD($E$49-K$6,投資情報!$I$4),0,投資情報!$W$93)</f>
        <v>0</v>
      </c>
      <c r="L108" s="328">
        <f>IF(MOD($E$49-L$6,投資情報!$I$4),0,投資情報!$W$93)</f>
        <v>0</v>
      </c>
      <c r="M108" s="328">
        <f>IF(MOD($E$49-M$6,投資情報!$I$4),0,投資情報!$W$93)</f>
        <v>0</v>
      </c>
      <c r="N108" s="328">
        <f>IF(MOD($E$49-N$6,投資情報!$I$4),0,投資情報!$W$93)</f>
        <v>0</v>
      </c>
      <c r="O108" s="328">
        <f>IF(MOD($E$49-O$6,投資情報!$I$4),0,投資情報!$W$93)</f>
        <v>0</v>
      </c>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row>
    <row r="109" spans="2:61" ht="40.5">
      <c r="C109" s="336" t="s">
        <v>443</v>
      </c>
      <c r="D109" s="362">
        <v>0</v>
      </c>
      <c r="E109" s="324">
        <f>IF(E$6=投資情報!$I$5+1,投資情報!$W$76+投資情報!$W$77,0)</f>
        <v>0</v>
      </c>
      <c r="F109" s="324">
        <f>IF(F$6=投資情報!$I$5+1,投資情報!$W$76+投資情報!$W$77,0)</f>
        <v>0</v>
      </c>
      <c r="G109" s="324">
        <f>IF(G$6=投資情報!$I$5+1,投資情報!$W$76+投資情報!$W$77,0)</f>
        <v>0</v>
      </c>
      <c r="H109" s="324">
        <f>IF(H$6=投資情報!$I$5+1,投資情報!$W$76+投資情報!$W$77,0)</f>
        <v>0</v>
      </c>
      <c r="I109" s="324">
        <f>IF(I$6=投資情報!$I$5+1,投資情報!$W$76+投資情報!$W$77,0)</f>
        <v>0</v>
      </c>
      <c r="J109" s="324">
        <f>IF(J$6=投資情報!$I$5+1,投資情報!$W$76+投資情報!$W$77,0)</f>
        <v>0</v>
      </c>
      <c r="K109" s="324">
        <f>IF(K$6=投資情報!$I$5+1,投資情報!$W$76+投資情報!$W$77,0)</f>
        <v>0</v>
      </c>
      <c r="L109" s="324">
        <f>IF(L$6=投資情報!$I$5+1,投資情報!$W$76+投資情報!$W$77,0)</f>
        <v>0</v>
      </c>
      <c r="M109" s="324">
        <f>IF(M$6=投資情報!$I$5+1,投資情報!$W$76+投資情報!$W$77,0)</f>
        <v>0</v>
      </c>
      <c r="N109" s="324">
        <f>IF(N$6=投資情報!$I$5+1,投資情報!$W$76+投資情報!$W$77,0)</f>
        <v>0</v>
      </c>
      <c r="O109" s="324">
        <f>IF(O$6=投資情報!$I$5+1,投資情報!$W$76+投資情報!$W$77,0)</f>
        <v>0</v>
      </c>
    </row>
    <row r="110" spans="2:61" ht="40.5">
      <c r="C110" s="336" t="s">
        <v>444</v>
      </c>
      <c r="D110" s="362">
        <v>0</v>
      </c>
      <c r="E110" s="324">
        <f>IF(E$6=投資情報!$W$5+1,投資情報!$W$79+投資情報!$W$80,0)</f>
        <v>0</v>
      </c>
      <c r="F110" s="324">
        <f>IF(F$6=投資情報!$W$5+1,投資情報!$W$79+投資情報!$W$80,0)</f>
        <v>0</v>
      </c>
      <c r="G110" s="324">
        <f>IF(G$6=投資情報!$W$5+1,投資情報!$W$79+投資情報!$W$80,0)</f>
        <v>0</v>
      </c>
      <c r="H110" s="324">
        <f>IF(H$6=投資情報!$W$5+1,投資情報!$W$79+投資情報!$W$80,0)</f>
        <v>0</v>
      </c>
      <c r="I110" s="324">
        <f>IF(I$6=投資情報!$W$5+1,投資情報!$W$79+投資情報!$W$80,0)</f>
        <v>0</v>
      </c>
      <c r="J110" s="324">
        <f>IF(J$6=投資情報!$W$5+1,投資情報!$W$79+投資情報!$W$80,0)</f>
        <v>0</v>
      </c>
      <c r="K110" s="324">
        <f>IF(K$6=投資情報!$W$5+1,投資情報!$W$79+投資情報!$W$80,0)</f>
        <v>0</v>
      </c>
      <c r="L110" s="324">
        <f>IF(L$6=投資情報!$W$5+1,投資情報!$W$79+投資情報!$W$80,0)</f>
        <v>0</v>
      </c>
      <c r="M110" s="324">
        <f>IF(M$6=投資情報!$W$5+1,投資情報!$W$79+投資情報!$W$80,0)</f>
        <v>0</v>
      </c>
      <c r="N110" s="324">
        <f>IF(N$6=投資情報!$W$5+1,投資情報!$W$79+投資情報!$W$80,0)</f>
        <v>0</v>
      </c>
      <c r="O110" s="324">
        <f>IF(O$6=投資情報!$W$5+1,投資情報!$W$79+投資情報!$W$80,0)</f>
        <v>0</v>
      </c>
    </row>
    <row r="111" spans="2:61" ht="27">
      <c r="C111" s="336" t="s">
        <v>440</v>
      </c>
      <c r="D111" s="362">
        <v>0</v>
      </c>
      <c r="E111" s="324">
        <f>IF(E$6=投資情報!$I$5+1,投資情報!$W$82,0)</f>
        <v>0</v>
      </c>
      <c r="F111" s="324">
        <f>IF(F$6=投資情報!$I$5+1,投資情報!$W$82,0)</f>
        <v>0</v>
      </c>
      <c r="G111" s="324">
        <f>IF(G$6=投資情報!$I$5+1,投資情報!$W$82,0)</f>
        <v>0</v>
      </c>
      <c r="H111" s="324">
        <f>IF(H$6=投資情報!$I$5+1,投資情報!$W$82,0)</f>
        <v>0</v>
      </c>
      <c r="I111" s="324">
        <f>IF(I$6=投資情報!$I$5+1,投資情報!$W$82,0)</f>
        <v>0</v>
      </c>
      <c r="J111" s="324">
        <f>IF(J$6=投資情報!$I$5+1,投資情報!$W$82,0)</f>
        <v>0</v>
      </c>
      <c r="K111" s="324">
        <f>IF(K$6=投資情報!$I$5+1,投資情報!$W$82,0)</f>
        <v>0</v>
      </c>
      <c r="L111" s="324">
        <f>IF(L$6=投資情報!$I$5+1,投資情報!$W$82,0)</f>
        <v>0</v>
      </c>
      <c r="M111" s="324">
        <f>IF(M$6=投資情報!$I$5+1,投資情報!$W$82,0)</f>
        <v>0</v>
      </c>
      <c r="N111" s="324">
        <f>IF(N$6=投資情報!$I$5+1,投資情報!$W$82,0)</f>
        <v>0</v>
      </c>
      <c r="O111" s="324">
        <f>IF(O$6=投資情報!$I$5+1,投資情報!$W$82,0)</f>
        <v>0</v>
      </c>
      <c r="AC111" s="324"/>
      <c r="AD111" s="324"/>
      <c r="AE111" s="324"/>
      <c r="AF111" s="324"/>
      <c r="AG111" s="324"/>
      <c r="AH111" s="324"/>
      <c r="AI111" s="324"/>
      <c r="AJ111" s="324"/>
      <c r="AK111" s="324"/>
      <c r="AL111" s="324"/>
    </row>
    <row r="112" spans="2:61" ht="27">
      <c r="C112" s="336" t="s">
        <v>441</v>
      </c>
      <c r="D112" s="362">
        <v>0</v>
      </c>
      <c r="E112" s="324">
        <f>IF(E$6=投資情報!$W$5+1,投資情報!$W$84,0)</f>
        <v>0</v>
      </c>
      <c r="F112" s="324">
        <f>IF(F$6=投資情報!$W$5+1,投資情報!$W$84,0)</f>
        <v>0</v>
      </c>
      <c r="G112" s="324">
        <f>IF(G$6=投資情報!$W$5+1,投資情報!$W$84,0)</f>
        <v>0</v>
      </c>
      <c r="H112" s="324">
        <f>IF(H$6=投資情報!$W$5+1,投資情報!$W$84,0)</f>
        <v>0</v>
      </c>
      <c r="I112" s="324">
        <f>IF(I$6=投資情報!$W$5+1,投資情報!$W$84,0)</f>
        <v>0</v>
      </c>
      <c r="J112" s="324">
        <f>IF(J$6=投資情報!$W$5+1,投資情報!$W$84,0)</f>
        <v>0</v>
      </c>
      <c r="K112" s="324">
        <f>IF(K$6=投資情報!$W$5+1,投資情報!$W$84,0)</f>
        <v>0</v>
      </c>
      <c r="L112" s="324">
        <f>IF(L$6=投資情報!$W$5+1,投資情報!$W$84,0)</f>
        <v>0</v>
      </c>
      <c r="M112" s="324">
        <f>IF(M$6=投資情報!$W$5+1,投資情報!$W$84,0)</f>
        <v>0</v>
      </c>
      <c r="N112" s="324">
        <f>IF(N$6=投資情報!$W$5+1,投資情報!$W$84,0)</f>
        <v>0</v>
      </c>
      <c r="O112" s="324">
        <f>IF(O$6=投資情報!$W$5+1,投資情報!$W$84,0)</f>
        <v>0</v>
      </c>
      <c r="AC112" s="324"/>
      <c r="AD112" s="324"/>
      <c r="AE112" s="324"/>
      <c r="AF112" s="324"/>
      <c r="AG112" s="324"/>
      <c r="AH112" s="324"/>
      <c r="AI112" s="324"/>
      <c r="AJ112" s="324"/>
      <c r="AK112" s="324"/>
      <c r="AL112" s="324"/>
    </row>
    <row r="113" spans="3:15" ht="27">
      <c r="C113" s="336" t="s">
        <v>286</v>
      </c>
      <c r="D113" s="362">
        <v>0</v>
      </c>
      <c r="E113" s="324">
        <f>IF(E$6=投資情報!$I$5+1,投資情報!$W$86,0)</f>
        <v>0</v>
      </c>
      <c r="F113" s="324">
        <f>IF(F$6=投資情報!$I$5+1,投資情報!$W$86,0)</f>
        <v>30000</v>
      </c>
      <c r="G113" s="324">
        <f>IF(G$6=投資情報!$I$5+1,投資情報!$W$86,0)</f>
        <v>0</v>
      </c>
      <c r="H113" s="324">
        <f>IF(H$6=投資情報!$I$5+1,投資情報!$W$86,0)</f>
        <v>0</v>
      </c>
      <c r="I113" s="324">
        <f>IF(I$6=投資情報!$I$5+1,投資情報!$W$86,0)</f>
        <v>0</v>
      </c>
      <c r="J113" s="324">
        <f>IF(J$6=投資情報!$I$5+1,投資情報!$W$86,0)</f>
        <v>0</v>
      </c>
      <c r="K113" s="324">
        <f>IF(K$6=投資情報!$I$5+1,投資情報!$W$86,0)</f>
        <v>0</v>
      </c>
      <c r="L113" s="324">
        <f>IF(L$6=投資情報!$I$5+1,投資情報!$W$86,0)</f>
        <v>0</v>
      </c>
      <c r="M113" s="324">
        <f>IF(M$6=投資情報!$I$5+1,投資情報!$W$86,0)</f>
        <v>0</v>
      </c>
      <c r="N113" s="324">
        <f>IF(N$6=投資情報!$I$5+1,投資情報!$W$86,0)</f>
        <v>0</v>
      </c>
      <c r="O113" s="324">
        <f>IF(O$6=投資情報!$I$5+1,投資情報!$W$86,0)</f>
        <v>0</v>
      </c>
    </row>
    <row r="114" spans="3:15" ht="27">
      <c r="C114" s="336" t="s">
        <v>287</v>
      </c>
      <c r="D114" s="362">
        <v>0</v>
      </c>
      <c r="E114" s="324">
        <f>IF(E$6=投資情報!$W$5+1,投資情報!$W$88,0)</f>
        <v>0</v>
      </c>
      <c r="F114" s="324">
        <f>IF(F$6=投資情報!$W$5+1,投資情報!$W$88,0)</f>
        <v>0</v>
      </c>
      <c r="G114" s="324">
        <f>IF(G$6=投資情報!$W$5+1,投資情報!$W$88,0)</f>
        <v>0</v>
      </c>
      <c r="H114" s="324">
        <f>IF(H$6=投資情報!$W$5+1,投資情報!$W$88,0)</f>
        <v>0</v>
      </c>
      <c r="I114" s="324">
        <f>IF(I$6=投資情報!$W$5+1,投資情報!$W$88,0)</f>
        <v>0</v>
      </c>
      <c r="J114" s="324">
        <f>IF(J$6=投資情報!$W$5+1,投資情報!$W$88,0)</f>
        <v>0</v>
      </c>
      <c r="K114" s="324">
        <f>IF(K$6=投資情報!$W$5+1,投資情報!$W$88,0)</f>
        <v>0</v>
      </c>
      <c r="L114" s="324">
        <f>IF(L$6=投資情報!$W$5+1,投資情報!$W$88,0)</f>
        <v>0</v>
      </c>
      <c r="M114" s="324">
        <f>IF(M$6=投資情報!$W$5+1,投資情報!$W$88,0)</f>
        <v>30000</v>
      </c>
      <c r="N114" s="324">
        <f>IF(N$6=投資情報!$W$5+1,投資情報!$W$88,0)</f>
        <v>0</v>
      </c>
      <c r="O114" s="324">
        <f>IF(O$6=投資情報!$W$5+1,投資情報!$W$88,0)</f>
        <v>0</v>
      </c>
    </row>
    <row r="115" spans="3:15">
      <c r="C115" s="336" t="s">
        <v>442</v>
      </c>
      <c r="D115" s="362">
        <v>0</v>
      </c>
      <c r="E115" s="324">
        <f>IF(E$6=投資情報!$I$5+1,投資情報!$W$90,0)</f>
        <v>0</v>
      </c>
      <c r="F115" s="324">
        <f>IF(F$6=投資情報!$I$5+1,投資情報!$W$90,0)</f>
        <v>0</v>
      </c>
      <c r="G115" s="324">
        <f>IF(G$6=投資情報!$I$5+1,投資情報!$W$90,0)</f>
        <v>0</v>
      </c>
      <c r="H115" s="324">
        <f>IF(H$6=投資情報!$I$5+1,投資情報!$W$90,0)</f>
        <v>0</v>
      </c>
      <c r="I115" s="324">
        <f>IF(I$6=投資情報!$I$5+1,投資情報!$W$90,0)</f>
        <v>0</v>
      </c>
      <c r="J115" s="324">
        <f>IF(J$6=投資情報!$I$5+1,投資情報!$W$90,0)</f>
        <v>0</v>
      </c>
      <c r="K115" s="324">
        <f>IF(K$6=投資情報!$I$5+1,投資情報!$W$90,0)</f>
        <v>0</v>
      </c>
      <c r="L115" s="324">
        <f>IF(L$6=投資情報!$I$5+1,投資情報!$W$90,0)</f>
        <v>0</v>
      </c>
      <c r="M115" s="324">
        <f>IF(M$6=投資情報!$I$5+1,投資情報!$W$90,0)</f>
        <v>0</v>
      </c>
      <c r="N115" s="324">
        <f>IF(N$6=投資情報!$I$5+1,投資情報!$W$90,0)</f>
        <v>0</v>
      </c>
      <c r="O115" s="324">
        <f>IF(O$6=投資情報!$I$5+1,投資情報!$W$90,0)</f>
        <v>0</v>
      </c>
    </row>
    <row r="116" spans="3:15" ht="40.5">
      <c r="C116" s="336" t="s">
        <v>803</v>
      </c>
      <c r="D116" s="362">
        <v>0</v>
      </c>
      <c r="E116" s="324">
        <f>IF(E$6=投資情報!$I$5+1,投資情報!$N$101*基礎情報!$J$4*基礎情報!$J$5,0)</f>
        <v>0</v>
      </c>
      <c r="F116" s="324">
        <f>IF(F$6=投資情報!$I$5+1,投資情報!$N$101*基礎情報!$J$4*基礎情報!$J$5,0)</f>
        <v>0</v>
      </c>
      <c r="G116" s="324">
        <f>IF(G$6=投資情報!$I$5+1,投資情報!$N$101*基礎情報!$J$4*基礎情報!$J$5,0)</f>
        <v>0</v>
      </c>
      <c r="H116" s="324">
        <f>IF(H$6=投資情報!$I$5+1,投資情報!$N$101*基礎情報!$J$4*基礎情報!$J$5,0)</f>
        <v>0</v>
      </c>
      <c r="I116" s="324">
        <f>IF(I$6=投資情報!$I$5+1,投資情報!$N$101*基礎情報!$J$4*基礎情報!$J$5,0)</f>
        <v>0</v>
      </c>
      <c r="J116" s="324">
        <f>IF(J$6=投資情報!$I$5+1,投資情報!$N$101*基礎情報!$J$4*基礎情報!$J$5,0)</f>
        <v>0</v>
      </c>
      <c r="K116" s="324">
        <f>IF(K$6=投資情報!$I$5+1,投資情報!$N$101*基礎情報!$J$4*基礎情報!$J$5,0)</f>
        <v>0</v>
      </c>
      <c r="L116" s="324">
        <f>IF(L$6=投資情報!$I$5+1,投資情報!$N$101*基礎情報!$J$4*基礎情報!$J$5,0)</f>
        <v>0</v>
      </c>
      <c r="M116" s="324">
        <f>IF(M$6=投資情報!$I$5+1,投資情報!$N$101*基礎情報!$J$4*基礎情報!$J$5,0)</f>
        <v>0</v>
      </c>
      <c r="N116" s="324">
        <f>IF(N$6=投資情報!$I$5+1,投資情報!$N$101*基礎情報!$J$4*基礎情報!$J$5,0)</f>
        <v>0</v>
      </c>
      <c r="O116" s="324">
        <f>IF(O$6=投資情報!$I$5+1,投資情報!$N$101*基礎情報!$J$4*基礎情報!$J$5,0)</f>
        <v>0</v>
      </c>
    </row>
    <row r="117" spans="3:15" ht="40.5">
      <c r="C117" s="336" t="s">
        <v>804</v>
      </c>
      <c r="D117" s="362">
        <v>0</v>
      </c>
      <c r="E117" s="324">
        <f>IF(E$6=投資情報!$W$5+1,投資情報!$N$101*基礎情報!$J$4*基礎情報!$J$5,0)</f>
        <v>0</v>
      </c>
      <c r="F117" s="324">
        <f>IF(F$6=投資情報!$W$5+1,投資情報!$N$101*基礎情報!$J$4*基礎情報!$J$5,0)</f>
        <v>0</v>
      </c>
      <c r="G117" s="324">
        <f>IF(G$6=投資情報!$W$5+1,投資情報!$N$101*基礎情報!$J$4*基礎情報!$J$5,0)</f>
        <v>0</v>
      </c>
      <c r="H117" s="324">
        <f>IF(H$6=投資情報!$W$5+1,投資情報!$N$101*基礎情報!$J$4*基礎情報!$J$5,0)</f>
        <v>0</v>
      </c>
      <c r="I117" s="324">
        <f>IF(I$6=投資情報!$W$5+1,投資情報!$N$101*基礎情報!$J$4*基礎情報!$J$5,0)</f>
        <v>0</v>
      </c>
      <c r="J117" s="324">
        <f>IF(J$6=投資情報!$W$5+1,投資情報!$N$101*基礎情報!$J$4*基礎情報!$J$5,0)</f>
        <v>0</v>
      </c>
      <c r="K117" s="324">
        <f>IF(K$6=投資情報!$W$5+1,投資情報!$N$101*基礎情報!$J$4*基礎情報!$J$5,0)</f>
        <v>0</v>
      </c>
      <c r="L117" s="324">
        <f>IF(L$6=投資情報!$W$5+1,投資情報!$N$101*基礎情報!$J$4*基礎情報!$J$5,0)</f>
        <v>0</v>
      </c>
      <c r="M117" s="324">
        <f>IF(M$6=投資情報!$W$5+1,投資情報!$N$101*基礎情報!$J$4*基礎情報!$J$5,0)</f>
        <v>0</v>
      </c>
      <c r="N117" s="324">
        <f>IF(N$6=投資情報!$W$5+1,投資情報!$N$101*基礎情報!$J$4*基礎情報!$J$5,0)</f>
        <v>0</v>
      </c>
      <c r="O117" s="324">
        <f>IF(O$6=投資情報!$W$5+1,投資情報!$N$101*基礎情報!$J$4*基礎情報!$J$5,0)</f>
        <v>0</v>
      </c>
    </row>
    <row r="118" spans="3:15" ht="40.5">
      <c r="C118" s="336" t="s">
        <v>805</v>
      </c>
      <c r="D118" s="362">
        <v>0</v>
      </c>
      <c r="E118" s="324">
        <f>IF(E$6=投資情報!$I$5+1,投資情報!$N$102*基礎情報!$J$4*基礎情報!$J$5,0)</f>
        <v>0</v>
      </c>
      <c r="F118" s="324">
        <f>IF(F$6=投資情報!$I$5+1,投資情報!$N$102*基礎情報!$J$4*基礎情報!$J$5,0)</f>
        <v>0</v>
      </c>
      <c r="G118" s="324">
        <f>IF(G$6=投資情報!$I$5+1,投資情報!$N$102*基礎情報!$J$4*基礎情報!$J$5,0)</f>
        <v>0</v>
      </c>
      <c r="H118" s="324">
        <f>IF(H$6=投資情報!$I$5+1,投資情報!$N$102*基礎情報!$J$4*基礎情報!$J$5,0)</f>
        <v>0</v>
      </c>
      <c r="I118" s="324">
        <f>IF(I$6=投資情報!$I$5+1,投資情報!$N$102*基礎情報!$J$4*基礎情報!$J$5,0)</f>
        <v>0</v>
      </c>
      <c r="J118" s="324">
        <f>IF(J$6=投資情報!$I$5+1,投資情報!$N$102*基礎情報!$J$4*基礎情報!$J$5,0)</f>
        <v>0</v>
      </c>
      <c r="K118" s="324">
        <f>IF(K$6=投資情報!$I$5+1,投資情報!$N$102*基礎情報!$J$4*基礎情報!$J$5,0)</f>
        <v>0</v>
      </c>
      <c r="L118" s="324">
        <f>IF(L$6=投資情報!$I$5+1,投資情報!$N$102*基礎情報!$J$4*基礎情報!$J$5,0)</f>
        <v>0</v>
      </c>
      <c r="M118" s="324">
        <f>IF(M$6=投資情報!$I$5+1,投資情報!$N$102*基礎情報!$J$4*基礎情報!$J$5,0)</f>
        <v>0</v>
      </c>
      <c r="N118" s="324">
        <f>IF(N$6=投資情報!$I$5+1,投資情報!$N$102*基礎情報!$J$4*基礎情報!$J$5,0)</f>
        <v>0</v>
      </c>
      <c r="O118" s="324">
        <f>IF(O$6=投資情報!$I$5+1,投資情報!$N$102*基礎情報!$J$4*基礎情報!$J$5,0)</f>
        <v>0</v>
      </c>
    </row>
    <row r="119" spans="3:15" ht="40.5">
      <c r="C119" s="336" t="s">
        <v>806</v>
      </c>
      <c r="D119" s="362">
        <v>0</v>
      </c>
      <c r="E119" s="324">
        <f>IF(E$6=投資情報!$W$5+1,投資情報!$N$102*基礎情報!$J$4*基礎情報!$J$5,0)</f>
        <v>0</v>
      </c>
      <c r="F119" s="324">
        <f>IF(F$6=投資情報!$W$5+1,投資情報!$N$102*基礎情報!$J$4*基礎情報!$J$5,0)</f>
        <v>0</v>
      </c>
      <c r="G119" s="324">
        <f>IF(G$6=投資情報!$W$5+1,投資情報!$N$102*基礎情報!$J$4*基礎情報!$J$5,0)</f>
        <v>0</v>
      </c>
      <c r="H119" s="324">
        <f>IF(H$6=投資情報!$W$5+1,投資情報!$N$102*基礎情報!$J$4*基礎情報!$J$5,0)</f>
        <v>0</v>
      </c>
      <c r="I119" s="324">
        <f>IF(I$6=投資情報!$W$5+1,投資情報!$N$102*基礎情報!$J$4*基礎情報!$J$5,0)</f>
        <v>0</v>
      </c>
      <c r="J119" s="324">
        <f>IF(J$6=投資情報!$W$5+1,投資情報!$N$102*基礎情報!$J$4*基礎情報!$J$5,0)</f>
        <v>0</v>
      </c>
      <c r="K119" s="324">
        <f>IF(K$6=投資情報!$W$5+1,投資情報!$N$102*基礎情報!$J$4*基礎情報!$J$5,0)</f>
        <v>0</v>
      </c>
      <c r="L119" s="324">
        <f>IF(L$6=投資情報!$W$5+1,投資情報!$N$102*基礎情報!$J$4*基礎情報!$J$5,0)</f>
        <v>0</v>
      </c>
      <c r="M119" s="324">
        <f>IF(M$6=投資情報!$W$5+1,投資情報!$N$102*基礎情報!$J$4*基礎情報!$J$5,0)</f>
        <v>0</v>
      </c>
      <c r="N119" s="324">
        <f>IF(N$6=投資情報!$W$5+1,投資情報!$N$102*基礎情報!$J$4*基礎情報!$J$5,0)</f>
        <v>0</v>
      </c>
      <c r="O119" s="324">
        <f>IF(O$6=投資情報!$W$5+1,投資情報!$N$102*基礎情報!$J$4*基礎情報!$J$5,0)</f>
        <v>0</v>
      </c>
    </row>
    <row r="120" spans="3:15" ht="27">
      <c r="C120" s="336" t="s">
        <v>80</v>
      </c>
      <c r="D120" s="362"/>
      <c r="E120" s="324">
        <f>IF(E$6=投資情報!$I$5+1,投資情報!$W$95,0)</f>
        <v>0</v>
      </c>
      <c r="F120" s="324">
        <f>IF(F$6=投資情報!$I$5+1,投資情報!$W$95,0)</f>
        <v>0</v>
      </c>
      <c r="G120" s="324">
        <f>IF(G$6=投資情報!$I$5+1,投資情報!$W$95,0)</f>
        <v>0</v>
      </c>
      <c r="H120" s="324">
        <f>IF(H$6=投資情報!$I$5+1,投資情報!$W$95,0)</f>
        <v>0</v>
      </c>
      <c r="I120" s="324">
        <f>IF(I$6=投資情報!$I$5+1,投資情報!$W$95,0)</f>
        <v>0</v>
      </c>
      <c r="J120" s="324">
        <f>IF(J$6=投資情報!$I$5+1,投資情報!$W$95,0)</f>
        <v>0</v>
      </c>
      <c r="K120" s="324">
        <f>IF(K$6=投資情報!$I$5+1,投資情報!$W$95,0)</f>
        <v>0</v>
      </c>
      <c r="L120" s="324">
        <f>IF(L$6=投資情報!$I$5+1,投資情報!$W$95,0)</f>
        <v>0</v>
      </c>
      <c r="M120" s="324">
        <f>IF(M$6=投資情報!$I$5+1,投資情報!$W$95,0)</f>
        <v>0</v>
      </c>
      <c r="N120" s="324">
        <f>IF(N$6=投資情報!$I$5+1,投資情報!$W$95,0)</f>
        <v>0</v>
      </c>
      <c r="O120" s="324">
        <f>IF(O$6=投資情報!$I$5+1,投資情報!$W$95,0)</f>
        <v>0</v>
      </c>
    </row>
    <row r="121" spans="3:15">
      <c r="C121" s="335" t="s">
        <v>178</v>
      </c>
      <c r="D121" s="362">
        <v>0</v>
      </c>
      <c r="E121" s="324">
        <f>IF(E$47=0,0,投資情報!$W$94)</f>
        <v>0</v>
      </c>
      <c r="F121" s="324">
        <f>IF(F$47=0,0,投資情報!$W$94)</f>
        <v>0</v>
      </c>
      <c r="G121" s="324">
        <f>IF(G$47=0,0,投資情報!$W$94)</f>
        <v>0</v>
      </c>
      <c r="H121" s="324">
        <f>IF(H$47=0,0,投資情報!$W$94)</f>
        <v>0</v>
      </c>
      <c r="I121" s="324">
        <f>IF(I$47=0,0,投資情報!$W$94)</f>
        <v>0</v>
      </c>
      <c r="J121" s="324">
        <f>IF(J$47=0,0,投資情報!$W$94)</f>
        <v>0</v>
      </c>
      <c r="K121" s="324">
        <f>IF(K$47=0,0,投資情報!$W$94)</f>
        <v>0</v>
      </c>
      <c r="L121" s="324">
        <f>IF(L$47=0,0,投資情報!$W$94)</f>
        <v>0</v>
      </c>
      <c r="M121" s="324">
        <f>IF(M$47=0,0,投資情報!$W$94)</f>
        <v>0</v>
      </c>
      <c r="N121" s="324">
        <f>IF(N$47=0,0,投資情報!$W$94)</f>
        <v>0</v>
      </c>
      <c r="O121" s="324">
        <f>IF(O$47=0,0,投資情報!$W$94)</f>
        <v>0</v>
      </c>
    </row>
    <row r="122" spans="3:15" ht="27">
      <c r="C122" s="335" t="s">
        <v>445</v>
      </c>
      <c r="D122" s="362">
        <v>0</v>
      </c>
      <c r="E122" s="324">
        <f>IF(E$6&gt;=投資情報!$I$5+1,投資情報!$W$78,0)</f>
        <v>0</v>
      </c>
      <c r="F122" s="324">
        <f>IF(F$6&gt;=投資情報!$I$5+1,投資情報!$W$78,0)</f>
        <v>0</v>
      </c>
      <c r="G122" s="324">
        <f>IF(G$6&gt;=投資情報!$I$5+1,投資情報!$W$78,0)</f>
        <v>0</v>
      </c>
      <c r="H122" s="324">
        <f>IF(H$6&gt;=投資情報!$I$5+1,投資情報!$W$78,0)</f>
        <v>0</v>
      </c>
      <c r="I122" s="324">
        <f>IF(I$6&gt;=投資情報!$I$5+1,投資情報!$W$78,0)</f>
        <v>0</v>
      </c>
      <c r="J122" s="324">
        <f>IF(J$6&gt;=投資情報!$I$5+1,投資情報!$W$78,0)</f>
        <v>0</v>
      </c>
      <c r="K122" s="324">
        <f>IF(K$6&gt;=投資情報!$I$5+1,投資情報!$W$78,0)</f>
        <v>0</v>
      </c>
      <c r="L122" s="324">
        <f>IF(L$6&gt;=投資情報!$I$5+1,投資情報!$W$78,0)</f>
        <v>0</v>
      </c>
      <c r="M122" s="324">
        <f>IF(M$6&gt;=投資情報!$I$5+1,投資情報!$W$78,0)</f>
        <v>0</v>
      </c>
      <c r="N122" s="324">
        <f>IF(N$6&gt;=投資情報!$I$5+1,投資情報!$W$78,0)</f>
        <v>0</v>
      </c>
      <c r="O122" s="324">
        <f>IF(O$6&gt;=投資情報!$I$5+1,投資情報!$W$78,0)</f>
        <v>0</v>
      </c>
    </row>
    <row r="123" spans="3:15" ht="27">
      <c r="C123" s="335" t="s">
        <v>446</v>
      </c>
      <c r="D123" s="362">
        <v>0</v>
      </c>
      <c r="E123" s="324">
        <f>IF(E$6&gt;=投資情報!$W$5+1,投資情報!$W$81,0)</f>
        <v>0</v>
      </c>
      <c r="F123" s="324">
        <f>IF(F$6&gt;=投資情報!$W$5+1,投資情報!$W$81,0)</f>
        <v>0</v>
      </c>
      <c r="G123" s="324">
        <f>IF(G$6&gt;=投資情報!$W$5+1,投資情報!$W$81,0)</f>
        <v>0</v>
      </c>
      <c r="H123" s="324">
        <f>IF(H$6&gt;=投資情報!$W$5+1,投資情報!$W$81,0)</f>
        <v>0</v>
      </c>
      <c r="I123" s="324">
        <f>IF(I$6&gt;=投資情報!$W$5+1,投資情報!$W$81,0)</f>
        <v>0</v>
      </c>
      <c r="J123" s="324">
        <f>IF(J$6&gt;=投資情報!$W$5+1,投資情報!$W$81,0)</f>
        <v>0</v>
      </c>
      <c r="K123" s="324">
        <f>IF(K$6&gt;=投資情報!$W$5+1,投資情報!$W$81,0)</f>
        <v>0</v>
      </c>
      <c r="L123" s="324">
        <f>IF(L$6&gt;=投資情報!$W$5+1,投資情報!$W$81,0)</f>
        <v>0</v>
      </c>
      <c r="M123" s="324">
        <f>IF(M$6&gt;=投資情報!$W$5+1,投資情報!$W$81,0)</f>
        <v>0</v>
      </c>
      <c r="N123" s="324">
        <f>IF(N$6&gt;=投資情報!$W$5+1,投資情報!$W$81,0)</f>
        <v>0</v>
      </c>
      <c r="O123" s="324">
        <f>IF(O$6&gt;=投資情報!$W$5+1,投資情報!$W$81,0)</f>
        <v>0</v>
      </c>
    </row>
    <row r="124" spans="3:15" ht="27">
      <c r="C124" s="335" t="s">
        <v>747</v>
      </c>
      <c r="D124" s="362">
        <v>0</v>
      </c>
      <c r="E124" s="324">
        <f>IF(E$6&gt;=投資情報!$I$5+1,投資情報!$W$83,0)</f>
        <v>0</v>
      </c>
      <c r="F124" s="324">
        <f>IF(F$6&gt;=投資情報!$I$5+1,投資情報!$W$83,0)</f>
        <v>0</v>
      </c>
      <c r="G124" s="324">
        <f>IF(G$6&gt;=投資情報!$I$5+1,投資情報!$W$83,0)</f>
        <v>0</v>
      </c>
      <c r="H124" s="324">
        <f>IF(H$6&gt;=投資情報!$I$5+1,投資情報!$W$83,0)</f>
        <v>0</v>
      </c>
      <c r="I124" s="324">
        <f>IF(I$6&gt;=投資情報!$I$5+1,投資情報!$W$83,0)</f>
        <v>0</v>
      </c>
      <c r="J124" s="324">
        <f>IF(J$6&gt;=投資情報!$I$5+1,投資情報!$W$83,0)</f>
        <v>0</v>
      </c>
      <c r="K124" s="324">
        <f>IF(K$6&gt;=投資情報!$I$5+1,投資情報!$W$83,0)</f>
        <v>0</v>
      </c>
      <c r="L124" s="324">
        <f>IF(L$6&gt;=投資情報!$I$5+1,投資情報!$W$83,0)</f>
        <v>0</v>
      </c>
      <c r="M124" s="324">
        <f>IF(M$6&gt;=投資情報!$I$5+1,投資情報!$W$83,0)</f>
        <v>0</v>
      </c>
      <c r="N124" s="324">
        <f>IF(N$6&gt;=投資情報!$I$5+1,投資情報!$W$83,0)</f>
        <v>0</v>
      </c>
      <c r="O124" s="324">
        <f>IF(O$6&gt;=投資情報!$I$5+1,投資情報!$W$83,0)</f>
        <v>0</v>
      </c>
    </row>
    <row r="125" spans="3:15" ht="27">
      <c r="C125" s="335" t="s">
        <v>748</v>
      </c>
      <c r="D125" s="362">
        <v>0</v>
      </c>
      <c r="E125" s="324">
        <f>IF(E$6&gt;=投資情報!$W$5+1,投資情報!$W$85,0)</f>
        <v>0</v>
      </c>
      <c r="F125" s="324">
        <f>IF(F$6&gt;=投資情報!$W$5+1,投資情報!$W$85,0)</f>
        <v>0</v>
      </c>
      <c r="G125" s="324">
        <f>IF(G$6&gt;=投資情報!$W$5+1,投資情報!$W$85,0)</f>
        <v>0</v>
      </c>
      <c r="H125" s="324">
        <f>IF(H$6&gt;=投資情報!$W$5+1,投資情報!$W$85,0)</f>
        <v>0</v>
      </c>
      <c r="I125" s="324">
        <f>IF(I$6&gt;=投資情報!$W$5+1,投資情報!$W$85,0)</f>
        <v>0</v>
      </c>
      <c r="J125" s="324">
        <f>IF(J$6&gt;=投資情報!$W$5+1,投資情報!$W$85,0)</f>
        <v>0</v>
      </c>
      <c r="K125" s="324">
        <f>IF(K$6&gt;=投資情報!$W$5+1,投資情報!$W$85,0)</f>
        <v>0</v>
      </c>
      <c r="L125" s="324">
        <f>IF(L$6&gt;=投資情報!$W$5+1,投資情報!$W$85,0)</f>
        <v>0</v>
      </c>
      <c r="M125" s="324">
        <f>IF(M$6&gt;=投資情報!$W$5+1,投資情報!$W$85,0)</f>
        <v>0</v>
      </c>
      <c r="N125" s="324">
        <f>IF(N$6&gt;=投資情報!$W$5+1,投資情報!$W$85,0)</f>
        <v>0</v>
      </c>
      <c r="O125" s="324">
        <f>IF(O$6&gt;=投資情報!$W$5+1,投資情報!$W$85,0)</f>
        <v>0</v>
      </c>
    </row>
    <row r="126" spans="3:15" ht="27">
      <c r="C126" s="335" t="s">
        <v>288</v>
      </c>
      <c r="D126" s="362">
        <v>0</v>
      </c>
      <c r="E126" s="324">
        <f>IF(E$6&gt;=投資情報!$I$5+1,投資情報!$W$87,0)</f>
        <v>0</v>
      </c>
      <c r="F126" s="324">
        <f>IF(F$6&gt;=投資情報!$I$5+1,投資情報!$W$87,0)</f>
        <v>36000</v>
      </c>
      <c r="G126" s="324">
        <f>IF(G$6&gt;=投資情報!$I$5+1,投資情報!$W$87,0)</f>
        <v>36000</v>
      </c>
      <c r="H126" s="324">
        <f>IF(H$6&gt;=投資情報!$I$5+1,投資情報!$W$87,0)</f>
        <v>36000</v>
      </c>
      <c r="I126" s="324">
        <f>IF(I$6&gt;=投資情報!$I$5+1,投資情報!$W$87,0)</f>
        <v>36000</v>
      </c>
      <c r="J126" s="324">
        <f>IF(J$6&gt;=投資情報!$I$5+1,投資情報!$W$87,0)</f>
        <v>36000</v>
      </c>
      <c r="K126" s="324">
        <f>IF(K$6&gt;=投資情報!$I$5+1,投資情報!$W$87,0)</f>
        <v>36000</v>
      </c>
      <c r="L126" s="324">
        <f>IF(L$6&gt;=投資情報!$I$5+1,投資情報!$W$87,0)</f>
        <v>36000</v>
      </c>
      <c r="M126" s="324">
        <f>IF(M$6&gt;=投資情報!$I$5+1,投資情報!$W$87,0)</f>
        <v>36000</v>
      </c>
      <c r="N126" s="324">
        <f>IF(N$6&gt;=投資情報!$I$5+1,投資情報!$W$87,0)</f>
        <v>36000</v>
      </c>
      <c r="O126" s="324">
        <f>IF(O$6&gt;=投資情報!$I$5+1,投資情報!$W$87,0)</f>
        <v>36000</v>
      </c>
    </row>
    <row r="127" spans="3:15" ht="27">
      <c r="C127" s="335" t="s">
        <v>289</v>
      </c>
      <c r="D127" s="362">
        <v>0</v>
      </c>
      <c r="E127" s="324">
        <f>IF(E$6&gt;=投資情報!$W$5+1,投資情報!$W$89,0)</f>
        <v>0</v>
      </c>
      <c r="F127" s="324">
        <f>IF(F$6&gt;=投資情報!$W$5+1,投資情報!$W$89,0)</f>
        <v>0</v>
      </c>
      <c r="G127" s="324">
        <f>IF(G$6&gt;=投資情報!$W$5+1,投資情報!$W$89,0)</f>
        <v>0</v>
      </c>
      <c r="H127" s="324">
        <f>IF(H$6&gt;=投資情報!$W$5+1,投資情報!$W$89,0)</f>
        <v>0</v>
      </c>
      <c r="I127" s="324">
        <f>IF(I$6&gt;=投資情報!$W$5+1,投資情報!$W$89,0)</f>
        <v>0</v>
      </c>
      <c r="J127" s="324">
        <f>IF(J$6&gt;=投資情報!$W$5+1,投資情報!$W$89,0)</f>
        <v>0</v>
      </c>
      <c r="K127" s="324">
        <f>IF(K$6&gt;=投資情報!$W$5+1,投資情報!$W$89,0)</f>
        <v>0</v>
      </c>
      <c r="L127" s="324">
        <f>IF(L$6&gt;=投資情報!$W$5+1,投資情報!$W$89,0)</f>
        <v>0</v>
      </c>
      <c r="M127" s="324">
        <f>IF(M$6&gt;=投資情報!$W$5+1,投資情報!$W$89,0)</f>
        <v>36000</v>
      </c>
      <c r="N127" s="324">
        <f>IF(N$6&gt;=投資情報!$W$5+1,投資情報!$W$89,0)</f>
        <v>36000</v>
      </c>
      <c r="O127" s="324">
        <f>IF(O$6&gt;=投資情報!$W$5+1,投資情報!$W$89,0)</f>
        <v>36000</v>
      </c>
    </row>
    <row r="128" spans="3:15">
      <c r="C128" s="335" t="s">
        <v>447</v>
      </c>
      <c r="D128" s="362">
        <v>0</v>
      </c>
      <c r="E128" s="324">
        <f>IF(E$6&gt;=投資情報!$I$5+1,投資情報!$W$91,0)</f>
        <v>0</v>
      </c>
      <c r="F128" s="324">
        <f>IF(F$6&gt;=投資情報!$I$5+1,投資情報!$W$91,0)</f>
        <v>0</v>
      </c>
      <c r="G128" s="324">
        <f>IF(G$6&gt;=投資情報!$I$5+1,投資情報!$W$91,0)</f>
        <v>0</v>
      </c>
      <c r="H128" s="324">
        <f>IF(H$6&gt;=投資情報!$I$5+1,投資情報!$W$91,0)</f>
        <v>0</v>
      </c>
      <c r="I128" s="324">
        <f>IF(I$6&gt;=投資情報!$I$5+1,投資情報!$W$91,0)</f>
        <v>0</v>
      </c>
      <c r="J128" s="324">
        <f>IF(J$6&gt;=投資情報!$I$5+1,投資情報!$W$91,0)</f>
        <v>0</v>
      </c>
      <c r="K128" s="324">
        <f>IF(K$6&gt;=投資情報!$I$5+1,投資情報!$W$91,0)</f>
        <v>0</v>
      </c>
      <c r="L128" s="324">
        <f>IF(L$6&gt;=投資情報!$I$5+1,投資情報!$W$91,0)</f>
        <v>0</v>
      </c>
      <c r="M128" s="324">
        <f>IF(M$6&gt;=投資情報!$I$5+1,投資情報!$W$91,0)</f>
        <v>0</v>
      </c>
      <c r="N128" s="324">
        <f>IF(N$6&gt;=投資情報!$I$5+1,投資情報!$W$91,0)</f>
        <v>0</v>
      </c>
      <c r="O128" s="324">
        <f>IF(O$6&gt;=投資情報!$I$5+1,投資情報!$W$91,0)</f>
        <v>0</v>
      </c>
    </row>
    <row r="129" spans="2:61" ht="27">
      <c r="C129" s="335" t="s">
        <v>367</v>
      </c>
      <c r="D129" s="362">
        <v>0</v>
      </c>
      <c r="E129" s="324">
        <f>IF(OR(E$6&gt;=投資情報!$I$5+1,E$6&gt;=投資情報!$W$5+1),投資情報!$N$103*基礎情報!$J$4*基礎情報!$J$5,0)</f>
        <v>0</v>
      </c>
      <c r="F129" s="324">
        <f>IF(OR(F$6&gt;=投資情報!$I$5+1,F$6&gt;=投資情報!$W$5+1),投資情報!$N$103*基礎情報!$J$4*基礎情報!$J$5,0)</f>
        <v>0</v>
      </c>
      <c r="G129" s="324">
        <f>IF(OR(G$6&gt;=投資情報!$I$5+1,G$6&gt;=投資情報!$W$5+1),投資情報!$N$103*基礎情報!$J$4*基礎情報!$J$5,0)</f>
        <v>0</v>
      </c>
      <c r="H129" s="324">
        <f>IF(OR(H$6&gt;=投資情報!$I$5+1,H$6&gt;=投資情報!$W$5+1),投資情報!$N$103*基礎情報!$J$4*基礎情報!$J$5,0)</f>
        <v>0</v>
      </c>
      <c r="I129" s="324">
        <f>IF(OR(I$6&gt;=投資情報!$I$5+1,I$6&gt;=投資情報!$W$5+1),投資情報!$N$103*基礎情報!$J$4*基礎情報!$J$5,0)</f>
        <v>0</v>
      </c>
      <c r="J129" s="324">
        <f>IF(OR(J$6&gt;=投資情報!$I$5+1,J$6&gt;=投資情報!$W$5+1),投資情報!$N$103*基礎情報!$J$4*基礎情報!$J$5,0)</f>
        <v>0</v>
      </c>
      <c r="K129" s="324">
        <f>IF(OR(K$6&gt;=投資情報!$I$5+1,K$6&gt;=投資情報!$W$5+1),投資情報!$N$103*基礎情報!$J$4*基礎情報!$J$5,0)</f>
        <v>0</v>
      </c>
      <c r="L129" s="324">
        <f>IF(OR(L$6&gt;=投資情報!$I$5+1,L$6&gt;=投資情報!$W$5+1),投資情報!$N$103*基礎情報!$J$4*基礎情報!$J$5,0)</f>
        <v>0</v>
      </c>
      <c r="M129" s="324">
        <f>IF(OR(M$6&gt;=投資情報!$I$5+1,M$6&gt;=投資情報!$W$5+1),投資情報!$N$103*基礎情報!$J$4*基礎情報!$J$5,0)</f>
        <v>0</v>
      </c>
      <c r="N129" s="324">
        <f>IF(OR(N$6&gt;=投資情報!$I$5+1,N$6&gt;=投資情報!$W$5+1),投資情報!$N$103*基礎情報!$J$4*基礎情報!$J$5,0)</f>
        <v>0</v>
      </c>
      <c r="O129" s="324">
        <f>IF(OR(O$6&gt;=投資情報!$I$5+1,O$6&gt;=投資情報!$W$5+1),投資情報!$N$103*基礎情報!$J$4*基礎情報!$J$5,0)</f>
        <v>0</v>
      </c>
    </row>
    <row r="130" spans="2:61" ht="27">
      <c r="C130" s="335" t="s">
        <v>368</v>
      </c>
      <c r="D130" s="362">
        <v>0</v>
      </c>
      <c r="E130" s="324">
        <f>IF(OR(E$6&gt;=投資情報!$I$5+1,E$6&gt;=投資情報!$W$5+1),投資情報!$N$104*基礎情報!$J$4*基礎情報!$J$5,0)</f>
        <v>0</v>
      </c>
      <c r="F130" s="324">
        <f>IF(OR(F$6&gt;=投資情報!$I$5+1,F$6&gt;=投資情報!$W$5+1),投資情報!$N$104*基礎情報!$J$4*基礎情報!$J$5,0)</f>
        <v>0</v>
      </c>
      <c r="G130" s="324">
        <f>IF(OR(G$6&gt;=投資情報!$I$5+1,G$6&gt;=投資情報!$W$5+1),投資情報!$N$104*基礎情報!$J$4*基礎情報!$J$5,0)</f>
        <v>0</v>
      </c>
      <c r="H130" s="324">
        <f>IF(OR(H$6&gt;=投資情報!$I$5+1,H$6&gt;=投資情報!$W$5+1),投資情報!$N$104*基礎情報!$J$4*基礎情報!$J$5,0)</f>
        <v>0</v>
      </c>
      <c r="I130" s="324">
        <f>IF(OR(I$6&gt;=投資情報!$I$5+1,I$6&gt;=投資情報!$W$5+1),投資情報!$N$104*基礎情報!$J$4*基礎情報!$J$5,0)</f>
        <v>0</v>
      </c>
      <c r="J130" s="324">
        <f>IF(OR(J$6&gt;=投資情報!$I$5+1,J$6&gt;=投資情報!$W$5+1),投資情報!$N$104*基礎情報!$J$4*基礎情報!$J$5,0)</f>
        <v>0</v>
      </c>
      <c r="K130" s="324">
        <f>IF(OR(K$6&gt;=投資情報!$I$5+1,K$6&gt;=投資情報!$W$5+1),投資情報!$N$104*基礎情報!$J$4*基礎情報!$J$5,0)</f>
        <v>0</v>
      </c>
      <c r="L130" s="324">
        <f>IF(OR(L$6&gt;=投資情報!$I$5+1,L$6&gt;=投資情報!$W$5+1),投資情報!$N$104*基礎情報!$J$4*基礎情報!$J$5,0)</f>
        <v>0</v>
      </c>
      <c r="M130" s="324">
        <f>IF(OR(M$6&gt;=投資情報!$I$5+1,M$6&gt;=投資情報!$W$5+1),投資情報!$N$104*基礎情報!$J$4*基礎情報!$J$5,0)</f>
        <v>0</v>
      </c>
      <c r="N130" s="324">
        <f>IF(OR(N$6&gt;=投資情報!$I$5+1,N$6&gt;=投資情報!$W$5+1),投資情報!$N$104*基礎情報!$J$4*基礎情報!$J$5,0)</f>
        <v>0</v>
      </c>
      <c r="O130" s="324">
        <f>IF(OR(O$6&gt;=投資情報!$I$5+1,O$6&gt;=投資情報!$W$5+1),投資情報!$N$104*基礎情報!$J$4*基礎情報!$J$5,0)</f>
        <v>0</v>
      </c>
    </row>
    <row r="131" spans="2:61" ht="27">
      <c r="C131" s="335" t="s">
        <v>369</v>
      </c>
      <c r="D131" s="362">
        <v>0</v>
      </c>
      <c r="E131" s="324">
        <f>IF(OR(E$6&gt;=投資情報!$I$5+1,E$6&gt;=投資情報!$W$5+1),投資情報!$N$105*基礎情報!$J$4*基礎情報!$J$5,0)</f>
        <v>0</v>
      </c>
      <c r="F131" s="324">
        <f>IF(OR(F$6&gt;=投資情報!$I$5+1,F$6&gt;=投資情報!$W$5+1),投資情報!$N$105*基礎情報!$J$4*基礎情報!$J$5,0)</f>
        <v>0</v>
      </c>
      <c r="G131" s="324">
        <f>IF(OR(G$6&gt;=投資情報!$I$5+1,G$6&gt;=投資情報!$W$5+1),投資情報!$N$105*基礎情報!$J$4*基礎情報!$J$5,0)</f>
        <v>0</v>
      </c>
      <c r="H131" s="324">
        <f>IF(OR(H$6&gt;=投資情報!$I$5+1,H$6&gt;=投資情報!$W$5+1),投資情報!$N$105*基礎情報!$J$4*基礎情報!$J$5,0)</f>
        <v>0</v>
      </c>
      <c r="I131" s="324">
        <f>IF(OR(I$6&gt;=投資情報!$I$5+1,I$6&gt;=投資情報!$W$5+1),投資情報!$N$105*基礎情報!$J$4*基礎情報!$J$5,0)</f>
        <v>0</v>
      </c>
      <c r="J131" s="324">
        <f>IF(OR(J$6&gt;=投資情報!$I$5+1,J$6&gt;=投資情報!$W$5+1),投資情報!$N$105*基礎情報!$J$4*基礎情報!$J$5,0)</f>
        <v>0</v>
      </c>
      <c r="K131" s="324">
        <f>IF(OR(K$6&gt;=投資情報!$I$5+1,K$6&gt;=投資情報!$W$5+1),投資情報!$N$105*基礎情報!$J$4*基礎情報!$J$5,0)</f>
        <v>0</v>
      </c>
      <c r="L131" s="324">
        <f>IF(OR(L$6&gt;=投資情報!$I$5+1,L$6&gt;=投資情報!$W$5+1),投資情報!$N$105*基礎情報!$J$4*基礎情報!$J$5,0)</f>
        <v>0</v>
      </c>
      <c r="M131" s="324">
        <f>IF(OR(M$6&gt;=投資情報!$I$5+1,M$6&gt;=投資情報!$W$5+1),投資情報!$N$105*基礎情報!$J$4*基礎情報!$J$5,0)</f>
        <v>0</v>
      </c>
      <c r="N131" s="324">
        <f>IF(OR(N$6&gt;=投資情報!$I$5+1,N$6&gt;=投資情報!$W$5+1),投資情報!$N$105*基礎情報!$J$4*基礎情報!$J$5,0)</f>
        <v>0</v>
      </c>
      <c r="O131" s="324">
        <f>IF(OR(O$6&gt;=投資情報!$I$5+1,O$6&gt;=投資情報!$W$5+1),投資情報!$N$105*基礎情報!$J$4*基礎情報!$J$5,0)</f>
        <v>0</v>
      </c>
    </row>
    <row r="132" spans="2:61" ht="27">
      <c r="C132" s="335" t="s">
        <v>81</v>
      </c>
      <c r="D132" s="362"/>
      <c r="E132" s="324">
        <f>IF(E$47=0,0,投資情報!$W$96)</f>
        <v>0</v>
      </c>
      <c r="F132" s="324">
        <f>IF(F$47=0,0,投資情報!$W$96)</f>
        <v>0</v>
      </c>
      <c r="G132" s="324">
        <f>IF(G$47=0,0,投資情報!$W$96)</f>
        <v>0</v>
      </c>
      <c r="H132" s="324">
        <f>IF(H$47=0,0,投資情報!$W$96)</f>
        <v>0</v>
      </c>
      <c r="I132" s="324">
        <f>IF(I$47=0,0,投資情報!$W$96)</f>
        <v>0</v>
      </c>
      <c r="J132" s="324">
        <f>IF(J$47=0,0,投資情報!$W$96)</f>
        <v>0</v>
      </c>
      <c r="K132" s="324">
        <f>IF(K$47=0,0,投資情報!$W$96)</f>
        <v>0</v>
      </c>
      <c r="L132" s="324">
        <f>IF(L$47=0,0,投資情報!$W$96)</f>
        <v>0</v>
      </c>
      <c r="M132" s="324">
        <f>IF(M$47=0,0,投資情報!$W$96)</f>
        <v>0</v>
      </c>
      <c r="N132" s="324">
        <f>IF(N$47=0,0,投資情報!$W$96)</f>
        <v>0</v>
      </c>
      <c r="O132" s="324">
        <f>IF(O$47=0,0,投資情報!$W$96)</f>
        <v>0</v>
      </c>
    </row>
    <row r="133" spans="2:61">
      <c r="C133" s="19" t="s">
        <v>754</v>
      </c>
      <c r="D133" s="362">
        <v>0</v>
      </c>
      <c r="E133" s="324">
        <f ca="1">SUMIF($C$108:$N$132,"*"&amp;"初期"&amp;"*",E$108:E$132)</f>
        <v>0</v>
      </c>
      <c r="F133" s="324">
        <f t="shared" ref="F133:O133" ca="1" si="37">SUMIF($C$108:$N$132,"*"&amp;"初期"&amp;"*",F$108:F$132)</f>
        <v>30000</v>
      </c>
      <c r="G133" s="324">
        <f t="shared" ca="1" si="37"/>
        <v>0</v>
      </c>
      <c r="H133" s="324">
        <f t="shared" ca="1" si="37"/>
        <v>0</v>
      </c>
      <c r="I133" s="324">
        <f t="shared" ca="1" si="37"/>
        <v>0</v>
      </c>
      <c r="J133" s="324">
        <f t="shared" ca="1" si="37"/>
        <v>0</v>
      </c>
      <c r="K133" s="324">
        <f t="shared" ca="1" si="37"/>
        <v>0</v>
      </c>
      <c r="L133" s="324">
        <f t="shared" ca="1" si="37"/>
        <v>0</v>
      </c>
      <c r="M133" s="324">
        <f t="shared" ca="1" si="37"/>
        <v>30000</v>
      </c>
      <c r="N133" s="324">
        <f t="shared" ca="1" si="37"/>
        <v>0</v>
      </c>
      <c r="O133" s="324">
        <f t="shared" ca="1" si="37"/>
        <v>0</v>
      </c>
    </row>
    <row r="134" spans="2:61">
      <c r="C134" s="19" t="s">
        <v>755</v>
      </c>
      <c r="D134" s="362">
        <v>0</v>
      </c>
      <c r="E134" s="324">
        <f ca="1">SUMIF($C$108:$N$132,"*"&amp;"年額"&amp;"*",E$108:E$132)</f>
        <v>0</v>
      </c>
      <c r="F134" s="324">
        <f t="shared" ref="F134:O134" ca="1" si="38">SUMIF($C$108:$N$132,"*"&amp;"年額"&amp;"*",F$108:F$132)</f>
        <v>36000</v>
      </c>
      <c r="G134" s="324">
        <f t="shared" ca="1" si="38"/>
        <v>36000</v>
      </c>
      <c r="H134" s="324">
        <f t="shared" ca="1" si="38"/>
        <v>36000</v>
      </c>
      <c r="I134" s="324">
        <f t="shared" ca="1" si="38"/>
        <v>36000</v>
      </c>
      <c r="J134" s="324">
        <f t="shared" ca="1" si="38"/>
        <v>36000</v>
      </c>
      <c r="K134" s="324">
        <f t="shared" ca="1" si="38"/>
        <v>36000</v>
      </c>
      <c r="L134" s="324">
        <f t="shared" ca="1" si="38"/>
        <v>36000</v>
      </c>
      <c r="M134" s="324">
        <f t="shared" ca="1" si="38"/>
        <v>72000</v>
      </c>
      <c r="N134" s="324">
        <f t="shared" ca="1" si="38"/>
        <v>72000</v>
      </c>
      <c r="O134" s="324">
        <f t="shared" ca="1" si="38"/>
        <v>72000</v>
      </c>
    </row>
    <row r="135" spans="2:61">
      <c r="C135" s="19" t="s">
        <v>474</v>
      </c>
      <c r="D135" s="362">
        <v>0</v>
      </c>
      <c r="E135" s="324">
        <f ca="1">E133+E134</f>
        <v>0</v>
      </c>
      <c r="F135" s="324">
        <f t="shared" ref="F135:O135" ca="1" si="39">E135+F133+F134</f>
        <v>66000</v>
      </c>
      <c r="G135" s="324">
        <f t="shared" ca="1" si="39"/>
        <v>102000</v>
      </c>
      <c r="H135" s="324">
        <f t="shared" ca="1" si="39"/>
        <v>138000</v>
      </c>
      <c r="I135" s="324">
        <f t="shared" ca="1" si="39"/>
        <v>174000</v>
      </c>
      <c r="J135" s="324">
        <f t="shared" ca="1" si="39"/>
        <v>210000</v>
      </c>
      <c r="K135" s="324">
        <f t="shared" ca="1" si="39"/>
        <v>246000</v>
      </c>
      <c r="L135" s="324">
        <f t="shared" ca="1" si="39"/>
        <v>282000</v>
      </c>
      <c r="M135" s="324">
        <f t="shared" ca="1" si="39"/>
        <v>384000</v>
      </c>
      <c r="N135" s="324">
        <f t="shared" ca="1" si="39"/>
        <v>456000</v>
      </c>
      <c r="O135" s="324">
        <f t="shared" ca="1" si="39"/>
        <v>528000</v>
      </c>
      <c r="AB135" s="327"/>
      <c r="AC135" s="327"/>
      <c r="AD135" s="327"/>
      <c r="AE135" s="327"/>
      <c r="AF135" s="327"/>
      <c r="AG135" s="327"/>
      <c r="AH135" s="327"/>
      <c r="AI135" s="327"/>
      <c r="AJ135" s="327"/>
      <c r="AK135" s="327"/>
      <c r="AL135" s="327"/>
      <c r="AM135" s="327"/>
      <c r="AN135" s="327"/>
      <c r="AO135" s="327"/>
      <c r="AP135" s="327"/>
      <c r="AQ135" s="327"/>
      <c r="AR135" s="327"/>
      <c r="AS135" s="327"/>
      <c r="AT135" s="327"/>
      <c r="AU135" s="327"/>
      <c r="AV135" s="327"/>
      <c r="AW135" s="327"/>
      <c r="AX135" s="327"/>
      <c r="AY135" s="327"/>
      <c r="AZ135" s="327"/>
      <c r="BA135" s="327"/>
      <c r="BB135" s="327"/>
      <c r="BC135" s="327"/>
      <c r="BD135" s="327"/>
      <c r="BE135" s="327"/>
      <c r="BF135" s="327"/>
      <c r="BG135" s="327"/>
      <c r="BH135" s="327"/>
      <c r="BI135" s="327"/>
    </row>
    <row r="136" spans="2:61">
      <c r="C136" s="19" t="s">
        <v>753</v>
      </c>
      <c r="D136" s="362">
        <v>0</v>
      </c>
      <c r="E136" s="330">
        <f t="shared" ref="E136:O136" ca="1" si="40">E$44-E135</f>
        <v>0</v>
      </c>
      <c r="F136" s="330">
        <f t="shared" ca="1" si="40"/>
        <v>-66000</v>
      </c>
      <c r="G136" s="330">
        <f t="shared" ca="1" si="40"/>
        <v>593361</v>
      </c>
      <c r="H136" s="330">
        <f t="shared" ca="1" si="40"/>
        <v>1454601</v>
      </c>
      <c r="I136" s="330">
        <f t="shared" ca="1" si="40"/>
        <v>2540151</v>
      </c>
      <c r="J136" s="330">
        <f t="shared" ca="1" si="40"/>
        <v>3850011</v>
      </c>
      <c r="K136" s="330">
        <f t="shared" ca="1" si="40"/>
        <v>5159871</v>
      </c>
      <c r="L136" s="330">
        <f t="shared" ca="1" si="40"/>
        <v>6469731</v>
      </c>
      <c r="M136" s="330">
        <f t="shared" ca="1" si="40"/>
        <v>7713591</v>
      </c>
      <c r="N136" s="330">
        <f t="shared" ca="1" si="40"/>
        <v>8987451</v>
      </c>
      <c r="O136" s="330">
        <f t="shared" ca="1" si="40"/>
        <v>10261311</v>
      </c>
    </row>
    <row r="137" spans="2:61" s="327" customFormat="1" ht="27">
      <c r="B137" s="327" t="s">
        <v>642</v>
      </c>
      <c r="C137" s="336" t="s">
        <v>177</v>
      </c>
      <c r="D137" s="363">
        <v>0</v>
      </c>
      <c r="E137" s="328">
        <f>IF(MOD($E$49-E$6,投資情報!$I$4),0,投資情報!$W$127)</f>
        <v>0</v>
      </c>
      <c r="F137" s="328">
        <f>IF(MOD($E$49-F$6,投資情報!$I$4),0,投資情報!$W$127)</f>
        <v>0</v>
      </c>
      <c r="G137" s="328">
        <f>IF(MOD($E$49-G$6,投資情報!$I$4),0,投資情報!$W$127)</f>
        <v>0</v>
      </c>
      <c r="H137" s="328">
        <f>IF(MOD($E$49-H$6,投資情報!$I$4),0,投資情報!$W$127)</f>
        <v>0</v>
      </c>
      <c r="I137" s="328">
        <f>IF(MOD($E$49-I$6,投資情報!$I$4),0,投資情報!$W$127)</f>
        <v>0</v>
      </c>
      <c r="J137" s="328">
        <f>IF(MOD($E$49-J$6,投資情報!$I$4),0,投資情報!$W$127)</f>
        <v>0</v>
      </c>
      <c r="K137" s="328">
        <f>IF(MOD($E$49-K$6,投資情報!$I$4),0,投資情報!$W$127)</f>
        <v>0</v>
      </c>
      <c r="L137" s="328">
        <f>IF(MOD($E$49-L$6,投資情報!$I$4),0,投資情報!$W$127)</f>
        <v>0</v>
      </c>
      <c r="M137" s="328">
        <f>IF(MOD($E$49-M$6,投資情報!$I$4),0,投資情報!$W$127)</f>
        <v>0</v>
      </c>
      <c r="N137" s="328">
        <f>IF(MOD($E$49-N$6,投資情報!$I$4),0,投資情報!$W$127)</f>
        <v>0</v>
      </c>
      <c r="O137" s="328">
        <f>IF(MOD($E$49-O$6,投資情報!$I$4),0,投資情報!$W$127)</f>
        <v>0</v>
      </c>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row>
    <row r="138" spans="2:61" ht="40.5">
      <c r="C138" s="336" t="s">
        <v>443</v>
      </c>
      <c r="D138" s="362">
        <v>0</v>
      </c>
      <c r="E138" s="324">
        <f>IF(E$6=投資情報!$I$5+1,投資情報!$W$110+投資情報!$W$111,0)</f>
        <v>0</v>
      </c>
      <c r="F138" s="324">
        <f>IF(F$6=投資情報!$I$5+1,投資情報!$W$110+投資情報!$W$111,0)</f>
        <v>0</v>
      </c>
      <c r="G138" s="324">
        <f>IF(G$6=投資情報!$I$5+1,投資情報!$W$110+投資情報!$W$111,0)</f>
        <v>0</v>
      </c>
      <c r="H138" s="324">
        <f>IF(H$6=投資情報!$I$5+1,投資情報!$W$110+投資情報!$W$111,0)</f>
        <v>0</v>
      </c>
      <c r="I138" s="324">
        <f>IF(I$6=投資情報!$I$5+1,投資情報!$W$110+投資情報!$W$111,0)</f>
        <v>0</v>
      </c>
      <c r="J138" s="324">
        <f>IF(J$6=投資情報!$I$5+1,投資情報!$W$110+投資情報!$W$111,0)</f>
        <v>0</v>
      </c>
      <c r="K138" s="324">
        <f>IF(K$6=投資情報!$I$5+1,投資情報!$W$110+投資情報!$W$111,0)</f>
        <v>0</v>
      </c>
      <c r="L138" s="324">
        <f>IF(L$6=投資情報!$I$5+1,投資情報!$W$110+投資情報!$W$111,0)</f>
        <v>0</v>
      </c>
      <c r="M138" s="324">
        <f>IF(M$6=投資情報!$I$5+1,投資情報!$W$110+投資情報!$W$111,0)</f>
        <v>0</v>
      </c>
      <c r="N138" s="324">
        <f>IF(N$6=投資情報!$I$5+1,投資情報!$W$110+投資情報!$W$111,0)</f>
        <v>0</v>
      </c>
      <c r="O138" s="324">
        <f>IF(O$6=投資情報!$I$5+1,投資情報!$W$110+投資情報!$W$111,0)</f>
        <v>0</v>
      </c>
    </row>
    <row r="139" spans="2:61" ht="40.5">
      <c r="C139" s="336" t="s">
        <v>444</v>
      </c>
      <c r="D139" s="362">
        <v>0</v>
      </c>
      <c r="E139" s="324">
        <f>IF(E$6=投資情報!$W$5+1,投資情報!$W$113+投資情報!$W$114,0)</f>
        <v>0</v>
      </c>
      <c r="F139" s="324">
        <f>IF(F$6=投資情報!$W$5+1,投資情報!$W$113+投資情報!$W$114,0)</f>
        <v>0</v>
      </c>
      <c r="G139" s="324">
        <f>IF(G$6=投資情報!$W$5+1,投資情報!$W$113+投資情報!$W$114,0)</f>
        <v>0</v>
      </c>
      <c r="H139" s="324">
        <f>IF(H$6=投資情報!$W$5+1,投資情報!$W$113+投資情報!$W$114,0)</f>
        <v>0</v>
      </c>
      <c r="I139" s="324">
        <f>IF(I$6=投資情報!$W$5+1,投資情報!$W$113+投資情報!$W$114,0)</f>
        <v>0</v>
      </c>
      <c r="J139" s="324">
        <f>IF(J$6=投資情報!$W$5+1,投資情報!$W$113+投資情報!$W$114,0)</f>
        <v>0</v>
      </c>
      <c r="K139" s="324">
        <f>IF(K$6=投資情報!$W$5+1,投資情報!$W$113+投資情報!$W$114,0)</f>
        <v>0</v>
      </c>
      <c r="L139" s="324">
        <f>IF(L$6=投資情報!$W$5+1,投資情報!$W$113+投資情報!$W$114,0)</f>
        <v>0</v>
      </c>
      <c r="M139" s="324">
        <f>IF(M$6=投資情報!$W$5+1,投資情報!$W$113+投資情報!$W$114,0)</f>
        <v>0</v>
      </c>
      <c r="N139" s="324">
        <f>IF(N$6=投資情報!$W$5+1,投資情報!$W$113+投資情報!$W$114,0)</f>
        <v>0</v>
      </c>
      <c r="O139" s="324">
        <f>IF(O$6=投資情報!$W$5+1,投資情報!$W$113+投資情報!$W$114,0)</f>
        <v>0</v>
      </c>
    </row>
    <row r="140" spans="2:61" ht="27">
      <c r="C140" s="336" t="s">
        <v>440</v>
      </c>
      <c r="D140" s="362">
        <v>0</v>
      </c>
      <c r="E140" s="324">
        <f>IF(E$6=投資情報!$I$5+1,投資情報!$W$116,0)</f>
        <v>0</v>
      </c>
      <c r="F140" s="324">
        <f>IF(F$6=投資情報!$I$5+1,投資情報!$W$116,0)</f>
        <v>0</v>
      </c>
      <c r="G140" s="324">
        <f>IF(G$6=投資情報!$I$5+1,投資情報!$W$116,0)</f>
        <v>0</v>
      </c>
      <c r="H140" s="324">
        <f>IF(H$6=投資情報!$I$5+1,投資情報!$W$116,0)</f>
        <v>0</v>
      </c>
      <c r="I140" s="324">
        <f>IF(I$6=投資情報!$I$5+1,投資情報!$W$116,0)</f>
        <v>0</v>
      </c>
      <c r="J140" s="324">
        <f>IF(J$6=投資情報!$I$5+1,投資情報!$W$116,0)</f>
        <v>0</v>
      </c>
      <c r="K140" s="324">
        <f>IF(K$6=投資情報!$I$5+1,投資情報!$W$116,0)</f>
        <v>0</v>
      </c>
      <c r="L140" s="324">
        <f>IF(L$6=投資情報!$I$5+1,投資情報!$W$116,0)</f>
        <v>0</v>
      </c>
      <c r="M140" s="324">
        <f>IF(M$6=投資情報!$I$5+1,投資情報!$W$116,0)</f>
        <v>0</v>
      </c>
      <c r="N140" s="324">
        <f>IF(N$6=投資情報!$I$5+1,投資情報!$W$116,0)</f>
        <v>0</v>
      </c>
      <c r="O140" s="324">
        <f>IF(O$6=投資情報!$I$5+1,投資情報!$W$116,0)</f>
        <v>0</v>
      </c>
      <c r="AC140" s="324"/>
      <c r="AD140" s="324"/>
      <c r="AE140" s="324"/>
      <c r="AF140" s="324"/>
      <c r="AG140" s="324"/>
      <c r="AH140" s="324"/>
      <c r="AI140" s="324"/>
      <c r="AJ140" s="324"/>
      <c r="AK140" s="324"/>
      <c r="AL140" s="324"/>
    </row>
    <row r="141" spans="2:61" ht="27">
      <c r="C141" s="336" t="s">
        <v>441</v>
      </c>
      <c r="D141" s="362">
        <v>0</v>
      </c>
      <c r="E141" s="324">
        <f>IF(E$6=投資情報!$W$5+1,投資情報!$W$118,0)</f>
        <v>0</v>
      </c>
      <c r="F141" s="324">
        <f>IF(F$6=投資情報!$W$5+1,投資情報!$W$118,0)</f>
        <v>0</v>
      </c>
      <c r="G141" s="324">
        <f>IF(G$6=投資情報!$W$5+1,投資情報!$W$118,0)</f>
        <v>0</v>
      </c>
      <c r="H141" s="324">
        <f>IF(H$6=投資情報!$W$5+1,投資情報!$W$118,0)</f>
        <v>0</v>
      </c>
      <c r="I141" s="324">
        <f>IF(I$6=投資情報!$W$5+1,投資情報!$W$118,0)</f>
        <v>0</v>
      </c>
      <c r="J141" s="324">
        <f>IF(J$6=投資情報!$W$5+1,投資情報!$W$118,0)</f>
        <v>0</v>
      </c>
      <c r="K141" s="324">
        <f>IF(K$6=投資情報!$W$5+1,投資情報!$W$118,0)</f>
        <v>0</v>
      </c>
      <c r="L141" s="324">
        <f>IF(L$6=投資情報!$W$5+1,投資情報!$W$118,0)</f>
        <v>0</v>
      </c>
      <c r="M141" s="324">
        <f>IF(M$6=投資情報!$W$5+1,投資情報!$W$118,0)</f>
        <v>0</v>
      </c>
      <c r="N141" s="324">
        <f>IF(N$6=投資情報!$W$5+1,投資情報!$W$118,0)</f>
        <v>0</v>
      </c>
      <c r="O141" s="324">
        <f>IF(O$6=投資情報!$W$5+1,投資情報!$W$118,0)</f>
        <v>0</v>
      </c>
      <c r="AC141" s="324"/>
      <c r="AD141" s="324"/>
      <c r="AE141" s="324"/>
      <c r="AF141" s="324"/>
      <c r="AG141" s="324"/>
      <c r="AH141" s="324"/>
      <c r="AI141" s="324"/>
      <c r="AJ141" s="324"/>
      <c r="AK141" s="324"/>
      <c r="AL141" s="324"/>
    </row>
    <row r="142" spans="2:61" ht="27">
      <c r="C142" s="336" t="s">
        <v>286</v>
      </c>
      <c r="D142" s="362">
        <v>0</v>
      </c>
      <c r="E142" s="324">
        <f>IF(E$6=投資情報!$I$5+1,投資情報!$W$120,0)</f>
        <v>0</v>
      </c>
      <c r="F142" s="324">
        <f>IF(F$6=投資情報!$I$5+1,投資情報!$W$120,0)</f>
        <v>0</v>
      </c>
      <c r="G142" s="324">
        <f>IF(G$6=投資情報!$I$5+1,投資情報!$W$120,0)</f>
        <v>0</v>
      </c>
      <c r="H142" s="324">
        <f>IF(H$6=投資情報!$I$5+1,投資情報!$W$120,0)</f>
        <v>0</v>
      </c>
      <c r="I142" s="324">
        <f>IF(I$6=投資情報!$I$5+1,投資情報!$W$120,0)</f>
        <v>0</v>
      </c>
      <c r="J142" s="324">
        <f>IF(J$6=投資情報!$I$5+1,投資情報!$W$120,0)</f>
        <v>0</v>
      </c>
      <c r="K142" s="324">
        <f>IF(K$6=投資情報!$I$5+1,投資情報!$W$120,0)</f>
        <v>0</v>
      </c>
      <c r="L142" s="324">
        <f>IF(L$6=投資情報!$I$5+1,投資情報!$W$120,0)</f>
        <v>0</v>
      </c>
      <c r="M142" s="324">
        <f>IF(M$6=投資情報!$I$5+1,投資情報!$W$120,0)</f>
        <v>0</v>
      </c>
      <c r="N142" s="324">
        <f>IF(N$6=投資情報!$I$5+1,投資情報!$W$120,0)</f>
        <v>0</v>
      </c>
      <c r="O142" s="324">
        <f>IF(O$6=投資情報!$I$5+1,投資情報!$W$120,0)</f>
        <v>0</v>
      </c>
    </row>
    <row r="143" spans="2:61" ht="27">
      <c r="C143" s="336" t="s">
        <v>287</v>
      </c>
      <c r="D143" s="362">
        <v>0</v>
      </c>
      <c r="E143" s="324">
        <f>IF(E$6=投資情報!$W$5+1,投資情報!$W$122,0)</f>
        <v>0</v>
      </c>
      <c r="F143" s="324">
        <f>IF(F$6=投資情報!$W$5+1,投資情報!$W$122,0)</f>
        <v>0</v>
      </c>
      <c r="G143" s="324">
        <f>IF(G$6=投資情報!$W$5+1,投資情報!$W$122,0)</f>
        <v>0</v>
      </c>
      <c r="H143" s="324">
        <f>IF(H$6=投資情報!$W$5+1,投資情報!$W$122,0)</f>
        <v>0</v>
      </c>
      <c r="I143" s="324">
        <f>IF(I$6=投資情報!$W$5+1,投資情報!$W$122,0)</f>
        <v>0</v>
      </c>
      <c r="J143" s="324">
        <f>IF(J$6=投資情報!$W$5+1,投資情報!$W$122,0)</f>
        <v>0</v>
      </c>
      <c r="K143" s="324">
        <f>IF(K$6=投資情報!$W$5+1,投資情報!$W$122,0)</f>
        <v>0</v>
      </c>
      <c r="L143" s="324">
        <f>IF(L$6=投資情報!$W$5+1,投資情報!$W$122,0)</f>
        <v>0</v>
      </c>
      <c r="M143" s="324">
        <f>IF(M$6=投資情報!$W$5+1,投資情報!$W$122,0)</f>
        <v>0</v>
      </c>
      <c r="N143" s="324">
        <f>IF(N$6=投資情報!$W$5+1,投資情報!$W$122,0)</f>
        <v>0</v>
      </c>
      <c r="O143" s="324">
        <f>IF(O$6=投資情報!$W$5+1,投資情報!$W$122,0)</f>
        <v>0</v>
      </c>
    </row>
    <row r="144" spans="2:61">
      <c r="C144" s="336" t="s">
        <v>442</v>
      </c>
      <c r="D144" s="362">
        <v>0</v>
      </c>
      <c r="E144" s="324">
        <f>IF(E$6=投資情報!$I$5+1,投資情報!$W$124,0)</f>
        <v>0</v>
      </c>
      <c r="F144" s="324">
        <f>IF(F$6=投資情報!$I$5+1,投資情報!$W$124,0)</f>
        <v>0</v>
      </c>
      <c r="G144" s="324">
        <f>IF(G$6=投資情報!$I$5+1,投資情報!$W$124,0)</f>
        <v>0</v>
      </c>
      <c r="H144" s="324">
        <f>IF(H$6=投資情報!$I$5+1,投資情報!$W$124,0)</f>
        <v>0</v>
      </c>
      <c r="I144" s="324">
        <f>IF(I$6=投資情報!$I$5+1,投資情報!$W$124,0)</f>
        <v>0</v>
      </c>
      <c r="J144" s="324">
        <f>IF(J$6=投資情報!$I$5+1,投資情報!$W$124,0)</f>
        <v>0</v>
      </c>
      <c r="K144" s="324">
        <f>IF(K$6=投資情報!$I$5+1,投資情報!$W$124,0)</f>
        <v>0</v>
      </c>
      <c r="L144" s="324">
        <f>IF(L$6=投資情報!$I$5+1,投資情報!$W$124,0)</f>
        <v>0</v>
      </c>
      <c r="M144" s="324">
        <f>IF(M$6=投資情報!$I$5+1,投資情報!$W$124,0)</f>
        <v>0</v>
      </c>
      <c r="N144" s="324">
        <f>IF(N$6=投資情報!$I$5+1,投資情報!$W$124,0)</f>
        <v>0</v>
      </c>
      <c r="O144" s="324">
        <f>IF(O$6=投資情報!$I$5+1,投資情報!$W$124,0)</f>
        <v>0</v>
      </c>
    </row>
    <row r="145" spans="3:15" ht="40.5">
      <c r="C145" s="336" t="s">
        <v>803</v>
      </c>
      <c r="D145" s="362">
        <v>0</v>
      </c>
      <c r="E145" s="324">
        <f>IF(E$6=投資情報!$I$5+1,投資情報!$N$135*基礎情報!$J$4*基礎情報!$J$5,0)</f>
        <v>0</v>
      </c>
      <c r="F145" s="324">
        <f>IF(F$6=投資情報!$I$5+1,投資情報!$N$135*基礎情報!$J$4*基礎情報!$J$5,0)</f>
        <v>0</v>
      </c>
      <c r="G145" s="324">
        <f>IF(G$6=投資情報!$I$5+1,投資情報!$N$135*基礎情報!$J$4*基礎情報!$J$5,0)</f>
        <v>0</v>
      </c>
      <c r="H145" s="324">
        <f>IF(H$6=投資情報!$I$5+1,投資情報!$N$135*基礎情報!$J$4*基礎情報!$J$5,0)</f>
        <v>0</v>
      </c>
      <c r="I145" s="324">
        <f>IF(I$6=投資情報!$I$5+1,投資情報!$N$135*基礎情報!$J$4*基礎情報!$J$5,0)</f>
        <v>0</v>
      </c>
      <c r="J145" s="324">
        <f>IF(J$6=投資情報!$I$5+1,投資情報!$N$135*基礎情報!$J$4*基礎情報!$J$5,0)</f>
        <v>0</v>
      </c>
      <c r="K145" s="324">
        <f>IF(K$6=投資情報!$I$5+1,投資情報!$N$135*基礎情報!$J$4*基礎情報!$J$5,0)</f>
        <v>0</v>
      </c>
      <c r="L145" s="324">
        <f>IF(L$6=投資情報!$I$5+1,投資情報!$N$135*基礎情報!$J$4*基礎情報!$J$5,0)</f>
        <v>0</v>
      </c>
      <c r="M145" s="324">
        <f>IF(M$6=投資情報!$I$5+1,投資情報!$N$135*基礎情報!$J$4*基礎情報!$J$5,0)</f>
        <v>0</v>
      </c>
      <c r="N145" s="324">
        <f>IF(N$6=投資情報!$I$5+1,投資情報!$N$135*基礎情報!$J$4*基礎情報!$J$5,0)</f>
        <v>0</v>
      </c>
      <c r="O145" s="324">
        <f>IF(O$6=投資情報!$I$5+1,投資情報!$N$135*基礎情報!$J$4*基礎情報!$J$5,0)</f>
        <v>0</v>
      </c>
    </row>
    <row r="146" spans="3:15" ht="40.5">
      <c r="C146" s="336" t="s">
        <v>804</v>
      </c>
      <c r="D146" s="362">
        <v>0</v>
      </c>
      <c r="E146" s="324">
        <f>IF(E$6=投資情報!$W$5+1,投資情報!$N$135*基礎情報!$J$4*基礎情報!$J$5,0)</f>
        <v>0</v>
      </c>
      <c r="F146" s="324">
        <f>IF(F$6=投資情報!$W$5+1,投資情報!$N$135*基礎情報!$J$4*基礎情報!$J$5,0)</f>
        <v>0</v>
      </c>
      <c r="G146" s="324">
        <f>IF(G$6=投資情報!$W$5+1,投資情報!$N$135*基礎情報!$J$4*基礎情報!$J$5,0)</f>
        <v>0</v>
      </c>
      <c r="H146" s="324">
        <f>IF(H$6=投資情報!$W$5+1,投資情報!$N$135*基礎情報!$J$4*基礎情報!$J$5,0)</f>
        <v>0</v>
      </c>
      <c r="I146" s="324">
        <f>IF(I$6=投資情報!$W$5+1,投資情報!$N$135*基礎情報!$J$4*基礎情報!$J$5,0)</f>
        <v>0</v>
      </c>
      <c r="J146" s="324">
        <f>IF(J$6=投資情報!$W$5+1,投資情報!$N$135*基礎情報!$J$4*基礎情報!$J$5,0)</f>
        <v>0</v>
      </c>
      <c r="K146" s="324">
        <f>IF(K$6=投資情報!$W$5+1,投資情報!$N$135*基礎情報!$J$4*基礎情報!$J$5,0)</f>
        <v>0</v>
      </c>
      <c r="L146" s="324">
        <f>IF(L$6=投資情報!$W$5+1,投資情報!$N$135*基礎情報!$J$4*基礎情報!$J$5,0)</f>
        <v>0</v>
      </c>
      <c r="M146" s="324">
        <f>IF(M$6=投資情報!$W$5+1,投資情報!$N$135*基礎情報!$J$4*基礎情報!$J$5,0)</f>
        <v>0</v>
      </c>
      <c r="N146" s="324">
        <f>IF(N$6=投資情報!$W$5+1,投資情報!$N$135*基礎情報!$J$4*基礎情報!$J$5,0)</f>
        <v>0</v>
      </c>
      <c r="O146" s="324">
        <f>IF(O$6=投資情報!$W$5+1,投資情報!$N$135*基礎情報!$J$4*基礎情報!$J$5,0)</f>
        <v>0</v>
      </c>
    </row>
    <row r="147" spans="3:15" ht="40.5">
      <c r="C147" s="336" t="s">
        <v>805</v>
      </c>
      <c r="D147" s="362">
        <v>0</v>
      </c>
      <c r="E147" s="324">
        <f>IF(E$6=投資情報!$I$5+1,投資情報!$N$136*基礎情報!$J$4*基礎情報!$J$5,0)</f>
        <v>0</v>
      </c>
      <c r="F147" s="324">
        <f>IF(F$6=投資情報!$I$5+1,投資情報!$N$136*基礎情報!$J$4*基礎情報!$J$5,0)</f>
        <v>0</v>
      </c>
      <c r="G147" s="324">
        <f>IF(G$6=投資情報!$I$5+1,投資情報!$N$136*基礎情報!$J$4*基礎情報!$J$5,0)</f>
        <v>0</v>
      </c>
      <c r="H147" s="324">
        <f>IF(H$6=投資情報!$I$5+1,投資情報!$N$136*基礎情報!$J$4*基礎情報!$J$5,0)</f>
        <v>0</v>
      </c>
      <c r="I147" s="324">
        <f>IF(I$6=投資情報!$I$5+1,投資情報!$N$136*基礎情報!$J$4*基礎情報!$J$5,0)</f>
        <v>0</v>
      </c>
      <c r="J147" s="324">
        <f>IF(J$6=投資情報!$I$5+1,投資情報!$N$136*基礎情報!$J$4*基礎情報!$J$5,0)</f>
        <v>0</v>
      </c>
      <c r="K147" s="324">
        <f>IF(K$6=投資情報!$I$5+1,投資情報!$N$136*基礎情報!$J$4*基礎情報!$J$5,0)</f>
        <v>0</v>
      </c>
      <c r="L147" s="324">
        <f>IF(L$6=投資情報!$I$5+1,投資情報!$N$136*基礎情報!$J$4*基礎情報!$J$5,0)</f>
        <v>0</v>
      </c>
      <c r="M147" s="324">
        <f>IF(M$6=投資情報!$I$5+1,投資情報!$N$136*基礎情報!$J$4*基礎情報!$J$5,0)</f>
        <v>0</v>
      </c>
      <c r="N147" s="324">
        <f>IF(N$6=投資情報!$I$5+1,投資情報!$N$136*基礎情報!$J$4*基礎情報!$J$5,0)</f>
        <v>0</v>
      </c>
      <c r="O147" s="324">
        <f>IF(O$6=投資情報!$I$5+1,投資情報!$N$136*基礎情報!$J$4*基礎情報!$J$5,0)</f>
        <v>0</v>
      </c>
    </row>
    <row r="148" spans="3:15" ht="40.5">
      <c r="C148" s="336" t="s">
        <v>806</v>
      </c>
      <c r="D148" s="362">
        <v>0</v>
      </c>
      <c r="E148" s="324">
        <f>IF(E$6=投資情報!$W$5+1,投資情報!$N$136*基礎情報!$J$4*基礎情報!$J$5,0)</f>
        <v>0</v>
      </c>
      <c r="F148" s="324">
        <f>IF(F$6=投資情報!$W$5+1,投資情報!$N$136*基礎情報!$J$4*基礎情報!$J$5,0)</f>
        <v>0</v>
      </c>
      <c r="G148" s="324">
        <f>IF(G$6=投資情報!$W$5+1,投資情報!$N$136*基礎情報!$J$4*基礎情報!$J$5,0)</f>
        <v>0</v>
      </c>
      <c r="H148" s="324">
        <f>IF(H$6=投資情報!$W$5+1,投資情報!$N$136*基礎情報!$J$4*基礎情報!$J$5,0)</f>
        <v>0</v>
      </c>
      <c r="I148" s="324">
        <f>IF(I$6=投資情報!$W$5+1,投資情報!$N$136*基礎情報!$J$4*基礎情報!$J$5,0)</f>
        <v>0</v>
      </c>
      <c r="J148" s="324">
        <f>IF(J$6=投資情報!$W$5+1,投資情報!$N$136*基礎情報!$J$4*基礎情報!$J$5,0)</f>
        <v>0</v>
      </c>
      <c r="K148" s="324">
        <f>IF(K$6=投資情報!$W$5+1,投資情報!$N$136*基礎情報!$J$4*基礎情報!$J$5,0)</f>
        <v>0</v>
      </c>
      <c r="L148" s="324">
        <f>IF(L$6=投資情報!$W$5+1,投資情報!$N$136*基礎情報!$J$4*基礎情報!$J$5,0)</f>
        <v>0</v>
      </c>
      <c r="M148" s="324">
        <f>IF(M$6=投資情報!$W$5+1,投資情報!$N$136*基礎情報!$J$4*基礎情報!$J$5,0)</f>
        <v>0</v>
      </c>
      <c r="N148" s="324">
        <f>IF(N$6=投資情報!$W$5+1,投資情報!$N$136*基礎情報!$J$4*基礎情報!$J$5,0)</f>
        <v>0</v>
      </c>
      <c r="O148" s="324">
        <f>IF(O$6=投資情報!$W$5+1,投資情報!$N$136*基礎情報!$J$4*基礎情報!$J$5,0)</f>
        <v>0</v>
      </c>
    </row>
    <row r="149" spans="3:15" ht="27">
      <c r="C149" s="336" t="s">
        <v>80</v>
      </c>
      <c r="D149" s="362"/>
      <c r="E149" s="324">
        <f>IF(E$6=投資情報!$I$5+1,投資情報!$W$129,0)</f>
        <v>0</v>
      </c>
      <c r="F149" s="324">
        <f>IF(F$6=投資情報!$I$5+1,投資情報!$W$129,0)</f>
        <v>0</v>
      </c>
      <c r="G149" s="324">
        <f>IF(G$6=投資情報!$I$5+1,投資情報!$W$129,0)</f>
        <v>0</v>
      </c>
      <c r="H149" s="324">
        <f>IF(H$6=投資情報!$I$5+1,投資情報!$W$129,0)</f>
        <v>0</v>
      </c>
      <c r="I149" s="324">
        <f>IF(I$6=投資情報!$I$5+1,投資情報!$W$129,0)</f>
        <v>0</v>
      </c>
      <c r="J149" s="324">
        <f>IF(J$6=投資情報!$I$5+1,投資情報!$W$129,0)</f>
        <v>0</v>
      </c>
      <c r="K149" s="324">
        <f>IF(K$6=投資情報!$I$5+1,投資情報!$W$129,0)</f>
        <v>0</v>
      </c>
      <c r="L149" s="324">
        <f>IF(L$6=投資情報!$I$5+1,投資情報!$W$129,0)</f>
        <v>0</v>
      </c>
      <c r="M149" s="324">
        <f>IF(M$6=投資情報!$I$5+1,投資情報!$W$129,0)</f>
        <v>0</v>
      </c>
      <c r="N149" s="324">
        <f>IF(N$6=投資情報!$I$5+1,投資情報!$W$129,0)</f>
        <v>0</v>
      </c>
      <c r="O149" s="324">
        <f>IF(O$6=投資情報!$I$5+1,投資情報!$W$129,0)</f>
        <v>0</v>
      </c>
    </row>
    <row r="150" spans="3:15">
      <c r="C150" s="335" t="s">
        <v>178</v>
      </c>
      <c r="D150" s="362">
        <v>0</v>
      </c>
      <c r="E150" s="324">
        <f>IF(E$47=0,0,投資情報!$W$128)</f>
        <v>0</v>
      </c>
      <c r="F150" s="324">
        <f>IF(F$47=0,0,投資情報!$W$128)</f>
        <v>0</v>
      </c>
      <c r="G150" s="324">
        <f>IF(G$47=0,0,投資情報!$W$128)</f>
        <v>0</v>
      </c>
      <c r="H150" s="324">
        <f>IF(H$47=0,0,投資情報!$W$128)</f>
        <v>0</v>
      </c>
      <c r="I150" s="324">
        <f>IF(I$47=0,0,投資情報!$W$128)</f>
        <v>0</v>
      </c>
      <c r="J150" s="324">
        <f>IF(J$47=0,0,投資情報!$W$128)</f>
        <v>0</v>
      </c>
      <c r="K150" s="324">
        <f>IF(K$47=0,0,投資情報!$W$128)</f>
        <v>0</v>
      </c>
      <c r="L150" s="324">
        <f>IF(L$47=0,0,投資情報!$W$128)</f>
        <v>0</v>
      </c>
      <c r="M150" s="324">
        <f>IF(M$47=0,0,投資情報!$W$128)</f>
        <v>0</v>
      </c>
      <c r="N150" s="324">
        <f>IF(N$47=0,0,投資情報!$W$128)</f>
        <v>0</v>
      </c>
      <c r="O150" s="324">
        <f>IF(O$47=0,0,投資情報!$W$128)</f>
        <v>0</v>
      </c>
    </row>
    <row r="151" spans="3:15" ht="27">
      <c r="C151" s="335" t="s">
        <v>445</v>
      </c>
      <c r="D151" s="362">
        <v>0</v>
      </c>
      <c r="E151" s="324">
        <f>IF(E$6&gt;=投資情報!$I$5+1,投資情報!$W$112,0)</f>
        <v>0</v>
      </c>
      <c r="F151" s="324">
        <f>IF(F$6&gt;=投資情報!$I$5+1,投資情報!$W$112,0)</f>
        <v>0</v>
      </c>
      <c r="G151" s="324">
        <f>IF(G$6&gt;=投資情報!$I$5+1,投資情報!$W$112,0)</f>
        <v>0</v>
      </c>
      <c r="H151" s="324">
        <f>IF(H$6&gt;=投資情報!$I$5+1,投資情報!$W$112,0)</f>
        <v>0</v>
      </c>
      <c r="I151" s="324">
        <f>IF(I$6&gt;=投資情報!$I$5+1,投資情報!$W$112,0)</f>
        <v>0</v>
      </c>
      <c r="J151" s="324">
        <f>IF(J$6&gt;=投資情報!$I$5+1,投資情報!$W$112,0)</f>
        <v>0</v>
      </c>
      <c r="K151" s="324">
        <f>IF(K$6&gt;=投資情報!$I$5+1,投資情報!$W$112,0)</f>
        <v>0</v>
      </c>
      <c r="L151" s="324">
        <f>IF(L$6&gt;=投資情報!$I$5+1,投資情報!$W$112,0)</f>
        <v>0</v>
      </c>
      <c r="M151" s="324">
        <f>IF(M$6&gt;=投資情報!$I$5+1,投資情報!$W$112,0)</f>
        <v>0</v>
      </c>
      <c r="N151" s="324">
        <f>IF(N$6&gt;=投資情報!$I$5+1,投資情報!$W$112,0)</f>
        <v>0</v>
      </c>
      <c r="O151" s="324">
        <f>IF(O$6&gt;=投資情報!$I$5+1,投資情報!$W$112,0)</f>
        <v>0</v>
      </c>
    </row>
    <row r="152" spans="3:15" ht="27">
      <c r="C152" s="335" t="s">
        <v>446</v>
      </c>
      <c r="D152" s="362">
        <v>0</v>
      </c>
      <c r="E152" s="324">
        <f>IF(E$6&gt;=投資情報!$W$5+1,投資情報!$W$115,0)</f>
        <v>0</v>
      </c>
      <c r="F152" s="324">
        <f>IF(F$6&gt;=投資情報!$W$5+1,投資情報!$W$115,0)</f>
        <v>0</v>
      </c>
      <c r="G152" s="324">
        <f>IF(G$6&gt;=投資情報!$W$5+1,投資情報!$W$115,0)</f>
        <v>0</v>
      </c>
      <c r="H152" s="324">
        <f>IF(H$6&gt;=投資情報!$W$5+1,投資情報!$W$115,0)</f>
        <v>0</v>
      </c>
      <c r="I152" s="324">
        <f>IF(I$6&gt;=投資情報!$W$5+1,投資情報!$W$115,0)</f>
        <v>0</v>
      </c>
      <c r="J152" s="324">
        <f>IF(J$6&gt;=投資情報!$W$5+1,投資情報!$W$115,0)</f>
        <v>0</v>
      </c>
      <c r="K152" s="324">
        <f>IF(K$6&gt;=投資情報!$W$5+1,投資情報!$W$115,0)</f>
        <v>0</v>
      </c>
      <c r="L152" s="324">
        <f>IF(L$6&gt;=投資情報!$W$5+1,投資情報!$W$115,0)</f>
        <v>0</v>
      </c>
      <c r="M152" s="324">
        <f>IF(M$6&gt;=投資情報!$W$5+1,投資情報!$W$115,0)</f>
        <v>0</v>
      </c>
      <c r="N152" s="324">
        <f>IF(N$6&gt;=投資情報!$W$5+1,投資情報!$W$115,0)</f>
        <v>0</v>
      </c>
      <c r="O152" s="324">
        <f>IF(O$6&gt;=投資情報!$W$5+1,投資情報!$W$115,0)</f>
        <v>0</v>
      </c>
    </row>
    <row r="153" spans="3:15" ht="27">
      <c r="C153" s="335" t="s">
        <v>747</v>
      </c>
      <c r="D153" s="362">
        <v>0</v>
      </c>
      <c r="E153" s="324">
        <f>IF(E$6&gt;=投資情報!$I$5+1,投資情報!$W$117,0)</f>
        <v>0</v>
      </c>
      <c r="F153" s="324">
        <f>IF(F$6&gt;=投資情報!$I$5+1,投資情報!$W$117,0)</f>
        <v>0</v>
      </c>
      <c r="G153" s="324">
        <f>IF(G$6&gt;=投資情報!$I$5+1,投資情報!$W$117,0)</f>
        <v>0</v>
      </c>
      <c r="H153" s="324">
        <f>IF(H$6&gt;=投資情報!$I$5+1,投資情報!$W$117,0)</f>
        <v>0</v>
      </c>
      <c r="I153" s="324">
        <f>IF(I$6&gt;=投資情報!$I$5+1,投資情報!$W$117,0)</f>
        <v>0</v>
      </c>
      <c r="J153" s="324">
        <f>IF(J$6&gt;=投資情報!$I$5+1,投資情報!$W$117,0)</f>
        <v>0</v>
      </c>
      <c r="K153" s="324">
        <f>IF(K$6&gt;=投資情報!$I$5+1,投資情報!$W$117,0)</f>
        <v>0</v>
      </c>
      <c r="L153" s="324">
        <f>IF(L$6&gt;=投資情報!$I$5+1,投資情報!$W$117,0)</f>
        <v>0</v>
      </c>
      <c r="M153" s="324">
        <f>IF(M$6&gt;=投資情報!$I$5+1,投資情報!$W$117,0)</f>
        <v>0</v>
      </c>
      <c r="N153" s="324">
        <f>IF(N$6&gt;=投資情報!$I$5+1,投資情報!$W$117,0)</f>
        <v>0</v>
      </c>
      <c r="O153" s="324">
        <f>IF(O$6&gt;=投資情報!$I$5+1,投資情報!$W$117,0)</f>
        <v>0</v>
      </c>
    </row>
    <row r="154" spans="3:15" ht="27">
      <c r="C154" s="335" t="s">
        <v>748</v>
      </c>
      <c r="D154" s="362">
        <v>0</v>
      </c>
      <c r="E154" s="324">
        <f>IF(E$6&gt;=投資情報!$W$5+1,投資情報!$W$119,0)</f>
        <v>0</v>
      </c>
      <c r="F154" s="324">
        <f>IF(F$6&gt;=投資情報!$W$5+1,投資情報!$W$119,0)</f>
        <v>0</v>
      </c>
      <c r="G154" s="324">
        <f>IF(G$6&gt;=投資情報!$W$5+1,投資情報!$W$119,0)</f>
        <v>0</v>
      </c>
      <c r="H154" s="324">
        <f>IF(H$6&gt;=投資情報!$W$5+1,投資情報!$W$119,0)</f>
        <v>0</v>
      </c>
      <c r="I154" s="324">
        <f>IF(I$6&gt;=投資情報!$W$5+1,投資情報!$W$119,0)</f>
        <v>0</v>
      </c>
      <c r="J154" s="324">
        <f>IF(J$6&gt;=投資情報!$W$5+1,投資情報!$W$119,0)</f>
        <v>0</v>
      </c>
      <c r="K154" s="324">
        <f>IF(K$6&gt;=投資情報!$W$5+1,投資情報!$W$119,0)</f>
        <v>0</v>
      </c>
      <c r="L154" s="324">
        <f>IF(L$6&gt;=投資情報!$W$5+1,投資情報!$W$119,0)</f>
        <v>0</v>
      </c>
      <c r="M154" s="324">
        <f>IF(M$6&gt;=投資情報!$W$5+1,投資情報!$W$119,0)</f>
        <v>0</v>
      </c>
      <c r="N154" s="324">
        <f>IF(N$6&gt;=投資情報!$W$5+1,投資情報!$W$119,0)</f>
        <v>0</v>
      </c>
      <c r="O154" s="324">
        <f>IF(O$6&gt;=投資情報!$W$5+1,投資情報!$W$119,0)</f>
        <v>0</v>
      </c>
    </row>
    <row r="155" spans="3:15" ht="27">
      <c r="C155" s="335" t="s">
        <v>288</v>
      </c>
      <c r="D155" s="362">
        <v>0</v>
      </c>
      <c r="E155" s="324">
        <f>IF(E$6&gt;=投資情報!$I$5+1,投資情報!$W$121,0)</f>
        <v>0</v>
      </c>
      <c r="F155" s="324">
        <f>IF(F$6&gt;=投資情報!$I$5+1,投資情報!$W$121,0)</f>
        <v>0</v>
      </c>
      <c r="G155" s="324">
        <f>IF(G$6&gt;=投資情報!$I$5+1,投資情報!$W$121,0)</f>
        <v>0</v>
      </c>
      <c r="H155" s="324">
        <f>IF(H$6&gt;=投資情報!$I$5+1,投資情報!$W$121,0)</f>
        <v>0</v>
      </c>
      <c r="I155" s="324">
        <f>IF(I$6&gt;=投資情報!$I$5+1,投資情報!$W$121,0)</f>
        <v>0</v>
      </c>
      <c r="J155" s="324">
        <f>IF(J$6&gt;=投資情報!$I$5+1,投資情報!$W$121,0)</f>
        <v>0</v>
      </c>
      <c r="K155" s="324">
        <f>IF(K$6&gt;=投資情報!$I$5+1,投資情報!$W$121,0)</f>
        <v>0</v>
      </c>
      <c r="L155" s="324">
        <f>IF(L$6&gt;=投資情報!$I$5+1,投資情報!$W$121,0)</f>
        <v>0</v>
      </c>
      <c r="M155" s="324">
        <f>IF(M$6&gt;=投資情報!$I$5+1,投資情報!$W$121,0)</f>
        <v>0</v>
      </c>
      <c r="N155" s="324">
        <f>IF(N$6&gt;=投資情報!$I$5+1,投資情報!$W$121,0)</f>
        <v>0</v>
      </c>
      <c r="O155" s="324">
        <f>IF(O$6&gt;=投資情報!$I$5+1,投資情報!$W$121,0)</f>
        <v>0</v>
      </c>
    </row>
    <row r="156" spans="3:15" ht="27">
      <c r="C156" s="335" t="s">
        <v>289</v>
      </c>
      <c r="D156" s="362">
        <v>0</v>
      </c>
      <c r="E156" s="324">
        <f>IF(E$6&gt;=投資情報!$W$5+1,投資情報!$W$123,0)</f>
        <v>0</v>
      </c>
      <c r="F156" s="324">
        <f>IF(F$6&gt;=投資情報!$W$5+1,投資情報!$W$123,0)</f>
        <v>0</v>
      </c>
      <c r="G156" s="324">
        <f>IF(G$6&gt;=投資情報!$W$5+1,投資情報!$W$123,0)</f>
        <v>0</v>
      </c>
      <c r="H156" s="324">
        <f>IF(H$6&gt;=投資情報!$W$5+1,投資情報!$W$123,0)</f>
        <v>0</v>
      </c>
      <c r="I156" s="324">
        <f>IF(I$6&gt;=投資情報!$W$5+1,投資情報!$W$123,0)</f>
        <v>0</v>
      </c>
      <c r="J156" s="324">
        <f>IF(J$6&gt;=投資情報!$W$5+1,投資情報!$W$123,0)</f>
        <v>0</v>
      </c>
      <c r="K156" s="324">
        <f>IF(K$6&gt;=投資情報!$W$5+1,投資情報!$W$123,0)</f>
        <v>0</v>
      </c>
      <c r="L156" s="324">
        <f>IF(L$6&gt;=投資情報!$W$5+1,投資情報!$W$123,0)</f>
        <v>0</v>
      </c>
      <c r="M156" s="324">
        <f>IF(M$6&gt;=投資情報!$W$5+1,投資情報!$W$123,0)</f>
        <v>0</v>
      </c>
      <c r="N156" s="324">
        <f>IF(N$6&gt;=投資情報!$W$5+1,投資情報!$W$123,0)</f>
        <v>0</v>
      </c>
      <c r="O156" s="324">
        <f>IF(O$6&gt;=投資情報!$W$5+1,投資情報!$W$123,0)</f>
        <v>0</v>
      </c>
    </row>
    <row r="157" spans="3:15">
      <c r="C157" s="335" t="s">
        <v>447</v>
      </c>
      <c r="D157" s="362">
        <v>0</v>
      </c>
      <c r="E157" s="324">
        <f>IF(E$6&gt;=投資情報!$I$5+1,投資情報!$W$125,0)</f>
        <v>0</v>
      </c>
      <c r="F157" s="324">
        <f>IF(F$6&gt;=投資情報!$I$5+1,投資情報!$W$125,0)</f>
        <v>0</v>
      </c>
      <c r="G157" s="324">
        <f>IF(G$6&gt;=投資情報!$I$5+1,投資情報!$W$125,0)</f>
        <v>0</v>
      </c>
      <c r="H157" s="324">
        <f>IF(H$6&gt;=投資情報!$I$5+1,投資情報!$W$125,0)</f>
        <v>0</v>
      </c>
      <c r="I157" s="324">
        <f>IF(I$6&gt;=投資情報!$I$5+1,投資情報!$W$125,0)</f>
        <v>0</v>
      </c>
      <c r="J157" s="324">
        <f>IF(J$6&gt;=投資情報!$I$5+1,投資情報!$W$125,0)</f>
        <v>0</v>
      </c>
      <c r="K157" s="324">
        <f>IF(K$6&gt;=投資情報!$I$5+1,投資情報!$W$125,0)</f>
        <v>0</v>
      </c>
      <c r="L157" s="324">
        <f>IF(L$6&gt;=投資情報!$I$5+1,投資情報!$W$125,0)</f>
        <v>0</v>
      </c>
      <c r="M157" s="324">
        <f>IF(M$6&gt;=投資情報!$I$5+1,投資情報!$W$125,0)</f>
        <v>0</v>
      </c>
      <c r="N157" s="324">
        <f>IF(N$6&gt;=投資情報!$I$5+1,投資情報!$W$125,0)</f>
        <v>0</v>
      </c>
      <c r="O157" s="324">
        <f>IF(O$6&gt;=投資情報!$I$5+1,投資情報!$W$125,0)</f>
        <v>0</v>
      </c>
    </row>
    <row r="158" spans="3:15" ht="27">
      <c r="C158" s="335" t="s">
        <v>367</v>
      </c>
      <c r="D158" s="362">
        <v>0</v>
      </c>
      <c r="E158" s="324">
        <f>IF(OR(E$6&gt;=投資情報!$I$5+1,E$6&gt;=投資情報!$W$5+1),投資情報!$N$137*基礎情報!$J$4*基礎情報!$J$5,0)</f>
        <v>0</v>
      </c>
      <c r="F158" s="324">
        <f>IF(OR(F$6&gt;=投資情報!$I$5+1,F$6&gt;=投資情報!$W$5+1),投資情報!$N$137*基礎情報!$J$4*基礎情報!$J$5,0)</f>
        <v>0</v>
      </c>
      <c r="G158" s="324">
        <f>IF(OR(G$6&gt;=投資情報!$I$5+1,G$6&gt;=投資情報!$W$5+1),投資情報!$N$137*基礎情報!$J$4*基礎情報!$J$5,0)</f>
        <v>0</v>
      </c>
      <c r="H158" s="324">
        <f>IF(OR(H$6&gt;=投資情報!$I$5+1,H$6&gt;=投資情報!$W$5+1),投資情報!$N$137*基礎情報!$J$4*基礎情報!$J$5,0)</f>
        <v>0</v>
      </c>
      <c r="I158" s="324">
        <f>IF(OR(I$6&gt;=投資情報!$I$5+1,I$6&gt;=投資情報!$W$5+1),投資情報!$N$137*基礎情報!$J$4*基礎情報!$J$5,0)</f>
        <v>0</v>
      </c>
      <c r="J158" s="324">
        <f>IF(OR(J$6&gt;=投資情報!$I$5+1,J$6&gt;=投資情報!$W$5+1),投資情報!$N$137*基礎情報!$J$4*基礎情報!$J$5,0)</f>
        <v>0</v>
      </c>
      <c r="K158" s="324">
        <f>IF(OR(K$6&gt;=投資情報!$I$5+1,K$6&gt;=投資情報!$W$5+1),投資情報!$N$137*基礎情報!$J$4*基礎情報!$J$5,0)</f>
        <v>0</v>
      </c>
      <c r="L158" s="324">
        <f>IF(OR(L$6&gt;=投資情報!$I$5+1,L$6&gt;=投資情報!$W$5+1),投資情報!$N$137*基礎情報!$J$4*基礎情報!$J$5,0)</f>
        <v>0</v>
      </c>
      <c r="M158" s="324">
        <f>IF(OR(M$6&gt;=投資情報!$I$5+1,M$6&gt;=投資情報!$W$5+1),投資情報!$N$137*基礎情報!$J$4*基礎情報!$J$5,0)</f>
        <v>0</v>
      </c>
      <c r="N158" s="324">
        <f>IF(OR(N$6&gt;=投資情報!$I$5+1,N$6&gt;=投資情報!$W$5+1),投資情報!$N$137*基礎情報!$J$4*基礎情報!$J$5,0)</f>
        <v>0</v>
      </c>
      <c r="O158" s="324">
        <f>IF(OR(O$6&gt;=投資情報!$I$5+1,O$6&gt;=投資情報!$W$5+1),投資情報!$N$137*基礎情報!$J$4*基礎情報!$J$5,0)</f>
        <v>0</v>
      </c>
    </row>
    <row r="159" spans="3:15" ht="27">
      <c r="C159" s="335" t="s">
        <v>368</v>
      </c>
      <c r="D159" s="362">
        <v>0</v>
      </c>
      <c r="E159" s="324">
        <f>IF(OR(E$6&gt;=投資情報!$I$5+1,E$6&gt;=投資情報!$W$5+1),投資情報!$N$138*基礎情報!$J$4*基礎情報!$J$5,0)</f>
        <v>0</v>
      </c>
      <c r="F159" s="324">
        <f>IF(OR(F$6&gt;=投資情報!$I$5+1,F$6&gt;=投資情報!$W$5+1),投資情報!$N$138*基礎情報!$J$4*基礎情報!$J$5,0)</f>
        <v>0</v>
      </c>
      <c r="G159" s="324">
        <f>IF(OR(G$6&gt;=投資情報!$I$5+1,G$6&gt;=投資情報!$W$5+1),投資情報!$N$138*基礎情報!$J$4*基礎情報!$J$5,0)</f>
        <v>0</v>
      </c>
      <c r="H159" s="324">
        <f>IF(OR(H$6&gt;=投資情報!$I$5+1,H$6&gt;=投資情報!$W$5+1),投資情報!$N$138*基礎情報!$J$4*基礎情報!$J$5,0)</f>
        <v>0</v>
      </c>
      <c r="I159" s="324">
        <f>IF(OR(I$6&gt;=投資情報!$I$5+1,I$6&gt;=投資情報!$W$5+1),投資情報!$N$138*基礎情報!$J$4*基礎情報!$J$5,0)</f>
        <v>0</v>
      </c>
      <c r="J159" s="324">
        <f>IF(OR(J$6&gt;=投資情報!$I$5+1,J$6&gt;=投資情報!$W$5+1),投資情報!$N$138*基礎情報!$J$4*基礎情報!$J$5,0)</f>
        <v>0</v>
      </c>
      <c r="K159" s="324">
        <f>IF(OR(K$6&gt;=投資情報!$I$5+1,K$6&gt;=投資情報!$W$5+1),投資情報!$N$138*基礎情報!$J$4*基礎情報!$J$5,0)</f>
        <v>0</v>
      </c>
      <c r="L159" s="324">
        <f>IF(OR(L$6&gt;=投資情報!$I$5+1,L$6&gt;=投資情報!$W$5+1),投資情報!$N$138*基礎情報!$J$4*基礎情報!$J$5,0)</f>
        <v>0</v>
      </c>
      <c r="M159" s="324">
        <f>IF(OR(M$6&gt;=投資情報!$I$5+1,M$6&gt;=投資情報!$W$5+1),投資情報!$N$138*基礎情報!$J$4*基礎情報!$J$5,0)</f>
        <v>0</v>
      </c>
      <c r="N159" s="324">
        <f>IF(OR(N$6&gt;=投資情報!$I$5+1,N$6&gt;=投資情報!$W$5+1),投資情報!$N$138*基礎情報!$J$4*基礎情報!$J$5,0)</f>
        <v>0</v>
      </c>
      <c r="O159" s="324">
        <f>IF(OR(O$6&gt;=投資情報!$I$5+1,O$6&gt;=投資情報!$W$5+1),投資情報!$N$138*基礎情報!$J$4*基礎情報!$J$5,0)</f>
        <v>0</v>
      </c>
    </row>
    <row r="160" spans="3:15" ht="27">
      <c r="C160" s="335" t="s">
        <v>369</v>
      </c>
      <c r="D160" s="362">
        <v>0</v>
      </c>
      <c r="E160" s="324">
        <f>IF(OR(E$6&gt;=投資情報!$I$5+1,E$6&gt;=投資情報!$W$5+1),投資情報!$N$139*基礎情報!$J$4*基礎情報!$J$5,0)</f>
        <v>0</v>
      </c>
      <c r="F160" s="324">
        <f>IF(OR(F$6&gt;=投資情報!$I$5+1,F$6&gt;=投資情報!$W$5+1),投資情報!$N$139*基礎情報!$J$4*基礎情報!$J$5,0)</f>
        <v>0</v>
      </c>
      <c r="G160" s="324">
        <f>IF(OR(G$6&gt;=投資情報!$I$5+1,G$6&gt;=投資情報!$W$5+1),投資情報!$N$139*基礎情報!$J$4*基礎情報!$J$5,0)</f>
        <v>0</v>
      </c>
      <c r="H160" s="324">
        <f>IF(OR(H$6&gt;=投資情報!$I$5+1,H$6&gt;=投資情報!$W$5+1),投資情報!$N$139*基礎情報!$J$4*基礎情報!$J$5,0)</f>
        <v>0</v>
      </c>
      <c r="I160" s="324">
        <f>IF(OR(I$6&gt;=投資情報!$I$5+1,I$6&gt;=投資情報!$W$5+1),投資情報!$N$139*基礎情報!$J$4*基礎情報!$J$5,0)</f>
        <v>0</v>
      </c>
      <c r="J160" s="324">
        <f>IF(OR(J$6&gt;=投資情報!$I$5+1,J$6&gt;=投資情報!$W$5+1),投資情報!$N$139*基礎情報!$J$4*基礎情報!$J$5,0)</f>
        <v>0</v>
      </c>
      <c r="K160" s="324">
        <f>IF(OR(K$6&gt;=投資情報!$I$5+1,K$6&gt;=投資情報!$W$5+1),投資情報!$N$139*基礎情報!$J$4*基礎情報!$J$5,0)</f>
        <v>0</v>
      </c>
      <c r="L160" s="324">
        <f>IF(OR(L$6&gt;=投資情報!$I$5+1,L$6&gt;=投資情報!$W$5+1),投資情報!$N$139*基礎情報!$J$4*基礎情報!$J$5,0)</f>
        <v>0</v>
      </c>
      <c r="M160" s="324">
        <f>IF(OR(M$6&gt;=投資情報!$I$5+1,M$6&gt;=投資情報!$W$5+1),投資情報!$N$139*基礎情報!$J$4*基礎情報!$J$5,0)</f>
        <v>0</v>
      </c>
      <c r="N160" s="324">
        <f>IF(OR(N$6&gt;=投資情報!$I$5+1,N$6&gt;=投資情報!$W$5+1),投資情報!$N$139*基礎情報!$J$4*基礎情報!$J$5,0)</f>
        <v>0</v>
      </c>
      <c r="O160" s="324">
        <f>IF(OR(O$6&gt;=投資情報!$I$5+1,O$6&gt;=投資情報!$W$5+1),投資情報!$N$139*基礎情報!$J$4*基礎情報!$J$5,0)</f>
        <v>0</v>
      </c>
    </row>
    <row r="161" spans="2:15" ht="27">
      <c r="C161" s="335" t="s">
        <v>81</v>
      </c>
      <c r="D161" s="362"/>
      <c r="E161" s="324">
        <f>IF(E$47=0,0,投資情報!$W$130)</f>
        <v>0</v>
      </c>
      <c r="F161" s="324">
        <f>IF(F$47=0,0,投資情報!$W$130)</f>
        <v>0</v>
      </c>
      <c r="G161" s="324">
        <f>IF(G$47=0,0,投資情報!$W$130)</f>
        <v>0</v>
      </c>
      <c r="H161" s="324">
        <f>IF(H$47=0,0,投資情報!$W$130)</f>
        <v>0</v>
      </c>
      <c r="I161" s="324">
        <f>IF(I$47=0,0,投資情報!$W$130)</f>
        <v>0</v>
      </c>
      <c r="J161" s="324">
        <f>IF(J$47=0,0,投資情報!$W$130)</f>
        <v>0</v>
      </c>
      <c r="K161" s="324">
        <f>IF(K$47=0,0,投資情報!$W$130)</f>
        <v>0</v>
      </c>
      <c r="L161" s="324">
        <f>IF(L$47=0,0,投資情報!$W$130)</f>
        <v>0</v>
      </c>
      <c r="M161" s="324">
        <f>IF(M$47=0,0,投資情報!$W$130)</f>
        <v>0</v>
      </c>
      <c r="N161" s="324">
        <f>IF(N$47=0,0,投資情報!$W$130)</f>
        <v>0</v>
      </c>
      <c r="O161" s="324">
        <f>IF(O$47=0,0,投資情報!$W$130)</f>
        <v>0</v>
      </c>
    </row>
    <row r="162" spans="2:15">
      <c r="C162" s="19" t="s">
        <v>754</v>
      </c>
      <c r="D162" s="362">
        <v>0</v>
      </c>
      <c r="E162" s="324">
        <f ca="1">SUMIF($C$137:$N$161,"*"&amp;"初期"&amp;"*",E$137:E$161)</f>
        <v>0</v>
      </c>
      <c r="F162" s="324">
        <f t="shared" ref="F162:O162" ca="1" si="41">SUMIF($C$137:$N$161,"*"&amp;"初期"&amp;"*",F$137:F$161)</f>
        <v>0</v>
      </c>
      <c r="G162" s="324">
        <f t="shared" ca="1" si="41"/>
        <v>0</v>
      </c>
      <c r="H162" s="324">
        <f t="shared" ca="1" si="41"/>
        <v>0</v>
      </c>
      <c r="I162" s="324">
        <f t="shared" ca="1" si="41"/>
        <v>0</v>
      </c>
      <c r="J162" s="324">
        <f t="shared" ca="1" si="41"/>
        <v>0</v>
      </c>
      <c r="K162" s="324">
        <f t="shared" ca="1" si="41"/>
        <v>0</v>
      </c>
      <c r="L162" s="324">
        <f t="shared" ca="1" si="41"/>
        <v>0</v>
      </c>
      <c r="M162" s="324">
        <f t="shared" ca="1" si="41"/>
        <v>0</v>
      </c>
      <c r="N162" s="324">
        <f t="shared" ca="1" si="41"/>
        <v>0</v>
      </c>
      <c r="O162" s="324">
        <f t="shared" ca="1" si="41"/>
        <v>0</v>
      </c>
    </row>
    <row r="163" spans="2:15">
      <c r="C163" s="19" t="s">
        <v>755</v>
      </c>
      <c r="D163" s="362">
        <v>0</v>
      </c>
      <c r="E163" s="324">
        <f ca="1">SUMIF($C$137:$N$161,"*"&amp;"年額"&amp;"*",E$137:E$161)</f>
        <v>0</v>
      </c>
      <c r="F163" s="324">
        <f t="shared" ref="F163:O163" ca="1" si="42">SUMIF($C$137:$N$161,"*"&amp;"年額"&amp;"*",F$137:F$161)</f>
        <v>0</v>
      </c>
      <c r="G163" s="324">
        <f t="shared" ca="1" si="42"/>
        <v>0</v>
      </c>
      <c r="H163" s="324">
        <f t="shared" ca="1" si="42"/>
        <v>0</v>
      </c>
      <c r="I163" s="324">
        <f t="shared" ca="1" si="42"/>
        <v>0</v>
      </c>
      <c r="J163" s="324">
        <f t="shared" ca="1" si="42"/>
        <v>0</v>
      </c>
      <c r="K163" s="324">
        <f t="shared" ca="1" si="42"/>
        <v>0</v>
      </c>
      <c r="L163" s="324">
        <f t="shared" ca="1" si="42"/>
        <v>0</v>
      </c>
      <c r="M163" s="324">
        <f t="shared" ca="1" si="42"/>
        <v>0</v>
      </c>
      <c r="N163" s="324">
        <f t="shared" ca="1" si="42"/>
        <v>0</v>
      </c>
      <c r="O163" s="324">
        <f t="shared" ca="1" si="42"/>
        <v>0</v>
      </c>
    </row>
    <row r="164" spans="2:15">
      <c r="C164" s="19" t="s">
        <v>474</v>
      </c>
      <c r="D164" s="362">
        <v>0</v>
      </c>
      <c r="E164" s="324">
        <f ca="1">E162+E163</f>
        <v>0</v>
      </c>
      <c r="F164" s="324">
        <f t="shared" ref="F164:O164" ca="1" si="43">E164+F162+F163</f>
        <v>0</v>
      </c>
      <c r="G164" s="324">
        <f t="shared" ca="1" si="43"/>
        <v>0</v>
      </c>
      <c r="H164" s="324">
        <f t="shared" ca="1" si="43"/>
        <v>0</v>
      </c>
      <c r="I164" s="324">
        <f t="shared" ca="1" si="43"/>
        <v>0</v>
      </c>
      <c r="J164" s="324">
        <f t="shared" ca="1" si="43"/>
        <v>0</v>
      </c>
      <c r="K164" s="324">
        <f t="shared" ca="1" si="43"/>
        <v>0</v>
      </c>
      <c r="L164" s="324">
        <f t="shared" ca="1" si="43"/>
        <v>0</v>
      </c>
      <c r="M164" s="324">
        <f t="shared" ca="1" si="43"/>
        <v>0</v>
      </c>
      <c r="N164" s="324">
        <f t="shared" ca="1" si="43"/>
        <v>0</v>
      </c>
      <c r="O164" s="324">
        <f t="shared" ca="1" si="43"/>
        <v>0</v>
      </c>
    </row>
    <row r="165" spans="2:15">
      <c r="C165" s="19" t="s">
        <v>753</v>
      </c>
      <c r="D165" s="362">
        <v>0</v>
      </c>
      <c r="E165" s="330">
        <f t="shared" ref="E165:O165" ca="1" si="44">E$44-E164</f>
        <v>0</v>
      </c>
      <c r="F165" s="330">
        <f t="shared" ca="1" si="44"/>
        <v>0</v>
      </c>
      <c r="G165" s="330">
        <f t="shared" ca="1" si="44"/>
        <v>695361</v>
      </c>
      <c r="H165" s="330">
        <f t="shared" ca="1" si="44"/>
        <v>1592601</v>
      </c>
      <c r="I165" s="330">
        <f t="shared" ca="1" si="44"/>
        <v>2714151</v>
      </c>
      <c r="J165" s="330">
        <f t="shared" ca="1" si="44"/>
        <v>4060011</v>
      </c>
      <c r="K165" s="330">
        <f t="shared" ca="1" si="44"/>
        <v>5405871</v>
      </c>
      <c r="L165" s="330">
        <f t="shared" ca="1" si="44"/>
        <v>6751731</v>
      </c>
      <c r="M165" s="330">
        <f t="shared" ca="1" si="44"/>
        <v>8097591</v>
      </c>
      <c r="N165" s="330">
        <f t="shared" ca="1" si="44"/>
        <v>9443451</v>
      </c>
      <c r="O165" s="330">
        <f t="shared" ca="1" si="44"/>
        <v>10789311</v>
      </c>
    </row>
    <row r="168" spans="2:15">
      <c r="B168" t="s">
        <v>334</v>
      </c>
      <c r="C168" s="19" t="s">
        <v>335</v>
      </c>
      <c r="D168" s="19">
        <v>0</v>
      </c>
      <c r="E168" s="324">
        <f ca="1">E39</f>
        <v>8003100</v>
      </c>
      <c r="F168" s="324">
        <f t="shared" ref="F168:O168" ca="1" si="45">F39</f>
        <v>8003100</v>
      </c>
      <c r="G168" s="324">
        <f t="shared" ca="1" si="45"/>
        <v>8003100</v>
      </c>
      <c r="H168" s="324">
        <f t="shared" ca="1" si="45"/>
        <v>8003100</v>
      </c>
      <c r="I168" s="324">
        <f t="shared" ca="1" si="45"/>
        <v>8003100</v>
      </c>
      <c r="J168" s="324">
        <f t="shared" ca="1" si="45"/>
        <v>8003100</v>
      </c>
      <c r="K168" s="324">
        <f t="shared" ca="1" si="45"/>
        <v>8003100</v>
      </c>
      <c r="L168" s="324">
        <f t="shared" ca="1" si="45"/>
        <v>8003100</v>
      </c>
      <c r="M168" s="324">
        <f t="shared" ca="1" si="45"/>
        <v>8003100</v>
      </c>
      <c r="N168" s="324">
        <f t="shared" ca="1" si="45"/>
        <v>8003100</v>
      </c>
      <c r="O168" s="324">
        <f t="shared" ca="1" si="45"/>
        <v>8003100</v>
      </c>
    </row>
    <row r="169" spans="2:15">
      <c r="C169" s="19" t="s">
        <v>336</v>
      </c>
      <c r="D169" s="19">
        <v>0</v>
      </c>
      <c r="E169" s="324">
        <f ca="1">E41</f>
        <v>8003100</v>
      </c>
      <c r="F169" s="324">
        <f t="shared" ref="F169:O169" ca="1" si="46">F41</f>
        <v>8003100</v>
      </c>
      <c r="G169" s="324">
        <f t="shared" ca="1" si="46"/>
        <v>7307738.9999999991</v>
      </c>
      <c r="H169" s="324">
        <f t="shared" ca="1" si="46"/>
        <v>7105860</v>
      </c>
      <c r="I169" s="324">
        <f t="shared" ca="1" si="46"/>
        <v>6881550</v>
      </c>
      <c r="J169" s="324">
        <f t="shared" ca="1" si="46"/>
        <v>6657240</v>
      </c>
      <c r="K169" s="324">
        <f t="shared" ca="1" si="46"/>
        <v>6657240</v>
      </c>
      <c r="L169" s="324">
        <f t="shared" ca="1" si="46"/>
        <v>6657240</v>
      </c>
      <c r="M169" s="324">
        <f t="shared" ca="1" si="46"/>
        <v>6657240</v>
      </c>
      <c r="N169" s="324">
        <f t="shared" ca="1" si="46"/>
        <v>6657240</v>
      </c>
      <c r="O169" s="324">
        <f t="shared" ca="1" si="46"/>
        <v>6657240</v>
      </c>
    </row>
    <row r="170" spans="2:15">
      <c r="C170" s="19" t="s">
        <v>337</v>
      </c>
      <c r="D170" s="19">
        <v>0</v>
      </c>
      <c r="E170" s="324">
        <f ca="1">E43</f>
        <v>0</v>
      </c>
      <c r="F170" s="324">
        <f t="shared" ref="F170:O170" ca="1" si="47">F43</f>
        <v>0</v>
      </c>
      <c r="G170" s="324">
        <f t="shared" ca="1" si="47"/>
        <v>695361.00000000093</v>
      </c>
      <c r="H170" s="324">
        <f t="shared" ca="1" si="47"/>
        <v>897240</v>
      </c>
      <c r="I170" s="324">
        <f t="shared" ca="1" si="47"/>
        <v>1121550</v>
      </c>
      <c r="J170" s="324">
        <f t="shared" ca="1" si="47"/>
        <v>1345860</v>
      </c>
      <c r="K170" s="324">
        <f t="shared" ca="1" si="47"/>
        <v>1345860</v>
      </c>
      <c r="L170" s="324">
        <f t="shared" ca="1" si="47"/>
        <v>1345860</v>
      </c>
      <c r="M170" s="324">
        <f t="shared" ca="1" si="47"/>
        <v>1345860</v>
      </c>
      <c r="N170" s="324">
        <f t="shared" ca="1" si="47"/>
        <v>1345860</v>
      </c>
      <c r="O170" s="324">
        <f t="shared" ca="1" si="47"/>
        <v>1345860</v>
      </c>
    </row>
    <row r="171" spans="2:15">
      <c r="C171" s="19" t="s">
        <v>624</v>
      </c>
      <c r="D171" s="19">
        <v>0</v>
      </c>
      <c r="E171" s="330">
        <f ca="1">E78</f>
        <v>0</v>
      </c>
      <c r="F171" s="330">
        <f t="shared" ref="F171:O171" ca="1" si="48">F78</f>
        <v>0</v>
      </c>
      <c r="G171" s="330">
        <f t="shared" ca="1" si="48"/>
        <v>695361</v>
      </c>
      <c r="H171" s="330">
        <f t="shared" ca="1" si="48"/>
        <v>1592601</v>
      </c>
      <c r="I171" s="330">
        <f t="shared" ca="1" si="48"/>
        <v>2714151</v>
      </c>
      <c r="J171" s="330">
        <f t="shared" ca="1" si="48"/>
        <v>4060011</v>
      </c>
      <c r="K171" s="330">
        <f t="shared" ca="1" si="48"/>
        <v>5405871</v>
      </c>
      <c r="L171" s="330">
        <f t="shared" ca="1" si="48"/>
        <v>6751731</v>
      </c>
      <c r="M171" s="330">
        <f t="shared" ca="1" si="48"/>
        <v>8097591</v>
      </c>
      <c r="N171" s="330">
        <f t="shared" ca="1" si="48"/>
        <v>9443451</v>
      </c>
      <c r="O171" s="330">
        <f t="shared" ca="1" si="48"/>
        <v>10789311</v>
      </c>
    </row>
    <row r="172" spans="2:15">
      <c r="C172" s="19" t="s">
        <v>435</v>
      </c>
      <c r="D172" s="19">
        <v>0</v>
      </c>
      <c r="E172" s="330">
        <f ca="1">E107</f>
        <v>0</v>
      </c>
      <c r="F172" s="330">
        <f t="shared" ref="F172:O172" ca="1" si="49">F107</f>
        <v>-1900000</v>
      </c>
      <c r="G172" s="330">
        <f t="shared" ca="1" si="49"/>
        <v>-1474639</v>
      </c>
      <c r="H172" s="330">
        <f t="shared" ca="1" si="49"/>
        <v>-847399</v>
      </c>
      <c r="I172" s="330">
        <f t="shared" ca="1" si="49"/>
        <v>4151</v>
      </c>
      <c r="J172" s="330">
        <f t="shared" ca="1" si="49"/>
        <v>1080011</v>
      </c>
      <c r="K172" s="330">
        <f t="shared" ca="1" si="49"/>
        <v>2155871</v>
      </c>
      <c r="L172" s="330">
        <f t="shared" ca="1" si="49"/>
        <v>3231731</v>
      </c>
      <c r="M172" s="330">
        <f t="shared" ca="1" si="49"/>
        <v>4307591</v>
      </c>
      <c r="N172" s="330">
        <f t="shared" ca="1" si="49"/>
        <v>5383451</v>
      </c>
      <c r="O172" s="330">
        <f t="shared" ca="1" si="49"/>
        <v>6459311</v>
      </c>
    </row>
    <row r="173" spans="2:15">
      <c r="C173" s="19" t="s">
        <v>436</v>
      </c>
      <c r="D173" s="19">
        <v>0</v>
      </c>
      <c r="E173" s="330">
        <f ca="1">E136</f>
        <v>0</v>
      </c>
      <c r="F173" s="330">
        <f t="shared" ref="F173:O173" ca="1" si="50">F136</f>
        <v>-66000</v>
      </c>
      <c r="G173" s="330">
        <f t="shared" ca="1" si="50"/>
        <v>593361</v>
      </c>
      <c r="H173" s="330">
        <f t="shared" ca="1" si="50"/>
        <v>1454601</v>
      </c>
      <c r="I173" s="330">
        <f t="shared" ca="1" si="50"/>
        <v>2540151</v>
      </c>
      <c r="J173" s="330">
        <f t="shared" ca="1" si="50"/>
        <v>3850011</v>
      </c>
      <c r="K173" s="330">
        <f t="shared" ca="1" si="50"/>
        <v>5159871</v>
      </c>
      <c r="L173" s="330">
        <f t="shared" ca="1" si="50"/>
        <v>6469731</v>
      </c>
      <c r="M173" s="330">
        <f t="shared" ca="1" si="50"/>
        <v>7713591</v>
      </c>
      <c r="N173" s="330">
        <f t="shared" ca="1" si="50"/>
        <v>8987451</v>
      </c>
      <c r="O173" s="330">
        <f t="shared" ca="1" si="50"/>
        <v>10261311</v>
      </c>
    </row>
    <row r="174" spans="2:15">
      <c r="C174" s="19" t="s">
        <v>642</v>
      </c>
      <c r="D174" s="19">
        <v>0</v>
      </c>
      <c r="E174" s="330">
        <f ca="1">E165</f>
        <v>0</v>
      </c>
      <c r="F174" s="330">
        <f t="shared" ref="F174:O174" ca="1" si="51">F165</f>
        <v>0</v>
      </c>
      <c r="G174" s="330">
        <f t="shared" ca="1" si="51"/>
        <v>695361</v>
      </c>
      <c r="H174" s="330">
        <f t="shared" ca="1" si="51"/>
        <v>1592601</v>
      </c>
      <c r="I174" s="330">
        <f t="shared" ca="1" si="51"/>
        <v>2714151</v>
      </c>
      <c r="J174" s="330">
        <f t="shared" ca="1" si="51"/>
        <v>4060011</v>
      </c>
      <c r="K174" s="330">
        <f t="shared" ca="1" si="51"/>
        <v>5405871</v>
      </c>
      <c r="L174" s="330">
        <f t="shared" ca="1" si="51"/>
        <v>6751731</v>
      </c>
      <c r="M174" s="330">
        <f t="shared" ca="1" si="51"/>
        <v>8097591</v>
      </c>
      <c r="N174" s="330">
        <f t="shared" ca="1" si="51"/>
        <v>9443451</v>
      </c>
      <c r="O174" s="330">
        <f t="shared" ca="1" si="51"/>
        <v>10789311</v>
      </c>
    </row>
    <row r="176" spans="2:15">
      <c r="B176" t="s">
        <v>338</v>
      </c>
      <c r="C176" s="19" t="s">
        <v>179</v>
      </c>
      <c r="D176" s="19">
        <v>0</v>
      </c>
      <c r="E176" s="330">
        <f ca="1">E43</f>
        <v>0</v>
      </c>
      <c r="F176" s="330">
        <f t="shared" ref="F176:O176" ca="1" si="52">F43</f>
        <v>0</v>
      </c>
      <c r="G176" s="330">
        <f t="shared" ca="1" si="52"/>
        <v>695361.00000000093</v>
      </c>
      <c r="H176" s="330">
        <f t="shared" ca="1" si="52"/>
        <v>897240</v>
      </c>
      <c r="I176" s="330">
        <f t="shared" ca="1" si="52"/>
        <v>1121550</v>
      </c>
      <c r="J176" s="330">
        <f t="shared" ca="1" si="52"/>
        <v>1345860</v>
      </c>
      <c r="K176" s="330">
        <f t="shared" ca="1" si="52"/>
        <v>1345860</v>
      </c>
      <c r="L176" s="330">
        <f t="shared" ca="1" si="52"/>
        <v>1345860</v>
      </c>
      <c r="M176" s="330">
        <f t="shared" ca="1" si="52"/>
        <v>1345860</v>
      </c>
      <c r="N176" s="330">
        <f t="shared" ca="1" si="52"/>
        <v>1345860</v>
      </c>
      <c r="O176" s="330">
        <f t="shared" ca="1" si="52"/>
        <v>1345860</v>
      </c>
    </row>
    <row r="177" spans="2:15">
      <c r="C177" s="19" t="s">
        <v>339</v>
      </c>
      <c r="D177" s="19">
        <v>0</v>
      </c>
      <c r="E177" s="330">
        <f ca="1">E176</f>
        <v>0</v>
      </c>
      <c r="F177" s="330">
        <f t="shared" ref="F177:O177" ca="1" si="53">F176+E177</f>
        <v>0</v>
      </c>
      <c r="G177" s="330">
        <f t="shared" ca="1" si="53"/>
        <v>695361.00000000093</v>
      </c>
      <c r="H177" s="330">
        <f t="shared" ca="1" si="53"/>
        <v>1592601.0000000009</v>
      </c>
      <c r="I177" s="330">
        <f t="shared" ca="1" si="53"/>
        <v>2714151.0000000009</v>
      </c>
      <c r="J177" s="330">
        <f t="shared" ca="1" si="53"/>
        <v>4060011.0000000009</v>
      </c>
      <c r="K177" s="330">
        <f t="shared" ca="1" si="53"/>
        <v>5405871.0000000009</v>
      </c>
      <c r="L177" s="330">
        <f t="shared" ca="1" si="53"/>
        <v>6751731.0000000009</v>
      </c>
      <c r="M177" s="330">
        <f t="shared" ca="1" si="53"/>
        <v>8097591.0000000009</v>
      </c>
      <c r="N177" s="330">
        <f t="shared" ca="1" si="53"/>
        <v>9443451</v>
      </c>
      <c r="O177" s="330">
        <f t="shared" ca="1" si="53"/>
        <v>10789311</v>
      </c>
    </row>
    <row r="178" spans="2:15">
      <c r="B178" s="1700" t="s">
        <v>290</v>
      </c>
      <c r="C178" s="19" t="s">
        <v>291</v>
      </c>
      <c r="D178" s="19">
        <v>0</v>
      </c>
      <c r="E178" s="330">
        <f ca="1">-(E75+E76)</f>
        <v>0</v>
      </c>
      <c r="F178" s="330">
        <f t="shared" ref="F178:O178" ca="1" si="54">-(F75+F76)</f>
        <v>0</v>
      </c>
      <c r="G178" s="330">
        <f t="shared" ca="1" si="54"/>
        <v>0</v>
      </c>
      <c r="H178" s="330">
        <f t="shared" ca="1" si="54"/>
        <v>0</v>
      </c>
      <c r="I178" s="330">
        <f t="shared" ca="1" si="54"/>
        <v>0</v>
      </c>
      <c r="J178" s="330">
        <f t="shared" ca="1" si="54"/>
        <v>0</v>
      </c>
      <c r="K178" s="330">
        <f t="shared" ca="1" si="54"/>
        <v>0</v>
      </c>
      <c r="L178" s="330">
        <f t="shared" ca="1" si="54"/>
        <v>0</v>
      </c>
      <c r="M178" s="330">
        <f t="shared" ca="1" si="54"/>
        <v>0</v>
      </c>
      <c r="N178" s="330">
        <f t="shared" ca="1" si="54"/>
        <v>0</v>
      </c>
      <c r="O178" s="330">
        <f t="shared" ca="1" si="54"/>
        <v>0</v>
      </c>
    </row>
    <row r="179" spans="2:15" hidden="1">
      <c r="B179" s="1700"/>
      <c r="C179" s="19" t="s">
        <v>340</v>
      </c>
      <c r="D179" s="19"/>
      <c r="E179" s="330">
        <f ca="1">E178</f>
        <v>0</v>
      </c>
      <c r="F179" s="330">
        <f t="shared" ref="F179:O179" ca="1" si="55">E179+F178</f>
        <v>0</v>
      </c>
      <c r="G179" s="330">
        <f t="shared" ca="1" si="55"/>
        <v>0</v>
      </c>
      <c r="H179" s="330">
        <f t="shared" ca="1" si="55"/>
        <v>0</v>
      </c>
      <c r="I179" s="330">
        <f t="shared" ca="1" si="55"/>
        <v>0</v>
      </c>
      <c r="J179" s="330">
        <f t="shared" ca="1" si="55"/>
        <v>0</v>
      </c>
      <c r="K179" s="330">
        <f t="shared" ca="1" si="55"/>
        <v>0</v>
      </c>
      <c r="L179" s="330">
        <f t="shared" ca="1" si="55"/>
        <v>0</v>
      </c>
      <c r="M179" s="330">
        <f t="shared" ca="1" si="55"/>
        <v>0</v>
      </c>
      <c r="N179" s="330">
        <f t="shared" ca="1" si="55"/>
        <v>0</v>
      </c>
      <c r="O179" s="330">
        <f t="shared" ca="1" si="55"/>
        <v>0</v>
      </c>
    </row>
    <row r="180" spans="2:15">
      <c r="B180" s="1700"/>
      <c r="C180" s="19" t="s">
        <v>341</v>
      </c>
      <c r="D180" s="19">
        <v>0</v>
      </c>
      <c r="E180" s="330">
        <f ca="1">E$177+E179</f>
        <v>0</v>
      </c>
      <c r="F180" s="330">
        <f t="shared" ref="F180:O180" ca="1" si="56">F$177+F179</f>
        <v>0</v>
      </c>
      <c r="G180" s="330">
        <f t="shared" ca="1" si="56"/>
        <v>695361.00000000093</v>
      </c>
      <c r="H180" s="330">
        <f t="shared" ca="1" si="56"/>
        <v>1592601.0000000009</v>
      </c>
      <c r="I180" s="330">
        <f t="shared" ca="1" si="56"/>
        <v>2714151.0000000009</v>
      </c>
      <c r="J180" s="330">
        <f t="shared" ca="1" si="56"/>
        <v>4060011.0000000009</v>
      </c>
      <c r="K180" s="330">
        <f t="shared" ca="1" si="56"/>
        <v>5405871.0000000009</v>
      </c>
      <c r="L180" s="330">
        <f t="shared" ca="1" si="56"/>
        <v>6751731.0000000009</v>
      </c>
      <c r="M180" s="330">
        <f t="shared" ca="1" si="56"/>
        <v>8097591.0000000009</v>
      </c>
      <c r="N180" s="330">
        <f t="shared" ca="1" si="56"/>
        <v>9443451</v>
      </c>
      <c r="O180" s="330">
        <f t="shared" ca="1" si="56"/>
        <v>10789311</v>
      </c>
    </row>
    <row r="181" spans="2:15">
      <c r="B181" s="1700" t="s">
        <v>180</v>
      </c>
      <c r="C181" s="19" t="s">
        <v>291</v>
      </c>
      <c r="D181" s="19">
        <v>0</v>
      </c>
      <c r="E181" s="330">
        <f t="shared" ref="E181:O181" ca="1" si="57">-(E104+E105)</f>
        <v>0</v>
      </c>
      <c r="F181" s="330">
        <f t="shared" ca="1" si="57"/>
        <v>-1900000</v>
      </c>
      <c r="G181" s="330">
        <f t="shared" ca="1" si="57"/>
        <v>-270000</v>
      </c>
      <c r="H181" s="330">
        <f t="shared" ca="1" si="57"/>
        <v>-270000</v>
      </c>
      <c r="I181" s="330">
        <f t="shared" ca="1" si="57"/>
        <v>-270000</v>
      </c>
      <c r="J181" s="330">
        <f t="shared" ca="1" si="57"/>
        <v>-270000</v>
      </c>
      <c r="K181" s="330">
        <f t="shared" ca="1" si="57"/>
        <v>-270000</v>
      </c>
      <c r="L181" s="330">
        <f t="shared" ca="1" si="57"/>
        <v>-270000</v>
      </c>
      <c r="M181" s="330">
        <f t="shared" ca="1" si="57"/>
        <v>-270000</v>
      </c>
      <c r="N181" s="330">
        <f t="shared" ca="1" si="57"/>
        <v>-270000</v>
      </c>
      <c r="O181" s="330">
        <f t="shared" ca="1" si="57"/>
        <v>-270000</v>
      </c>
    </row>
    <row r="182" spans="2:15">
      <c r="B182" s="1700"/>
      <c r="C182" s="19" t="s">
        <v>340</v>
      </c>
      <c r="D182" s="19"/>
      <c r="E182" s="330">
        <f ca="1">E181</f>
        <v>0</v>
      </c>
      <c r="F182" s="330">
        <f t="shared" ref="F182:O182" ca="1" si="58">E182+F181</f>
        <v>-1900000</v>
      </c>
      <c r="G182" s="330">
        <f t="shared" ca="1" si="58"/>
        <v>-2170000</v>
      </c>
      <c r="H182" s="330">
        <f t="shared" ca="1" si="58"/>
        <v>-2440000</v>
      </c>
      <c r="I182" s="330">
        <f t="shared" ca="1" si="58"/>
        <v>-2710000</v>
      </c>
      <c r="J182" s="330">
        <f t="shared" ca="1" si="58"/>
        <v>-2980000</v>
      </c>
      <c r="K182" s="330">
        <f t="shared" ca="1" si="58"/>
        <v>-3250000</v>
      </c>
      <c r="L182" s="330">
        <f t="shared" ca="1" si="58"/>
        <v>-3520000</v>
      </c>
      <c r="M182" s="330">
        <f t="shared" ca="1" si="58"/>
        <v>-3790000</v>
      </c>
      <c r="N182" s="330">
        <f t="shared" ca="1" si="58"/>
        <v>-4060000</v>
      </c>
      <c r="O182" s="330">
        <f t="shared" ca="1" si="58"/>
        <v>-4330000</v>
      </c>
    </row>
    <row r="183" spans="2:15">
      <c r="B183" s="1700"/>
      <c r="C183" s="19" t="s">
        <v>341</v>
      </c>
      <c r="D183" s="19">
        <v>0</v>
      </c>
      <c r="E183" s="330">
        <f ca="1">E$177+E182</f>
        <v>0</v>
      </c>
      <c r="F183" s="330">
        <f t="shared" ref="F183:O183" ca="1" si="59">F$177+F182</f>
        <v>-1900000</v>
      </c>
      <c r="G183" s="330">
        <f t="shared" ca="1" si="59"/>
        <v>-1474638.9999999991</v>
      </c>
      <c r="H183" s="330">
        <f t="shared" ca="1" si="59"/>
        <v>-847398.99999999907</v>
      </c>
      <c r="I183" s="330">
        <f t="shared" ca="1" si="59"/>
        <v>4151.0000000009313</v>
      </c>
      <c r="J183" s="330">
        <f t="shared" ca="1" si="59"/>
        <v>1080011.0000000009</v>
      </c>
      <c r="K183" s="330">
        <f t="shared" ca="1" si="59"/>
        <v>2155871.0000000009</v>
      </c>
      <c r="L183" s="330">
        <f t="shared" ca="1" si="59"/>
        <v>3231731.0000000009</v>
      </c>
      <c r="M183" s="330">
        <f t="shared" ca="1" si="59"/>
        <v>4307591.0000000009</v>
      </c>
      <c r="N183" s="330">
        <f t="shared" ca="1" si="59"/>
        <v>5383451</v>
      </c>
      <c r="O183" s="330">
        <f t="shared" ca="1" si="59"/>
        <v>6459311</v>
      </c>
    </row>
    <row r="184" spans="2:15">
      <c r="B184" s="1700" t="s">
        <v>181</v>
      </c>
      <c r="C184" s="19" t="s">
        <v>291</v>
      </c>
      <c r="D184" s="19">
        <v>0</v>
      </c>
      <c r="E184" s="330">
        <f t="shared" ref="E184:O184" ca="1" si="60">-(E133+E134)</f>
        <v>0</v>
      </c>
      <c r="F184" s="330">
        <f t="shared" ca="1" si="60"/>
        <v>-66000</v>
      </c>
      <c r="G184" s="330">
        <f t="shared" ca="1" si="60"/>
        <v>-36000</v>
      </c>
      <c r="H184" s="330">
        <f t="shared" ca="1" si="60"/>
        <v>-36000</v>
      </c>
      <c r="I184" s="330">
        <f t="shared" ca="1" si="60"/>
        <v>-36000</v>
      </c>
      <c r="J184" s="330">
        <f t="shared" ca="1" si="60"/>
        <v>-36000</v>
      </c>
      <c r="K184" s="330">
        <f t="shared" ca="1" si="60"/>
        <v>-36000</v>
      </c>
      <c r="L184" s="330">
        <f t="shared" ca="1" si="60"/>
        <v>-36000</v>
      </c>
      <c r="M184" s="330">
        <f t="shared" ca="1" si="60"/>
        <v>-102000</v>
      </c>
      <c r="N184" s="330">
        <f t="shared" ca="1" si="60"/>
        <v>-72000</v>
      </c>
      <c r="O184" s="330">
        <f t="shared" ca="1" si="60"/>
        <v>-72000</v>
      </c>
    </row>
    <row r="185" spans="2:15">
      <c r="B185" s="1700"/>
      <c r="C185" s="19" t="s">
        <v>340</v>
      </c>
      <c r="D185" s="19"/>
      <c r="E185" s="330">
        <f ca="1">E184</f>
        <v>0</v>
      </c>
      <c r="F185" s="330">
        <f t="shared" ref="F185:O185" ca="1" si="61">E185+F184</f>
        <v>-66000</v>
      </c>
      <c r="G185" s="330">
        <f t="shared" ca="1" si="61"/>
        <v>-102000</v>
      </c>
      <c r="H185" s="330">
        <f t="shared" ca="1" si="61"/>
        <v>-138000</v>
      </c>
      <c r="I185" s="330">
        <f t="shared" ca="1" si="61"/>
        <v>-174000</v>
      </c>
      <c r="J185" s="330">
        <f t="shared" ca="1" si="61"/>
        <v>-210000</v>
      </c>
      <c r="K185" s="330">
        <f t="shared" ca="1" si="61"/>
        <v>-246000</v>
      </c>
      <c r="L185" s="330">
        <f t="shared" ca="1" si="61"/>
        <v>-282000</v>
      </c>
      <c r="M185" s="330">
        <f t="shared" ca="1" si="61"/>
        <v>-384000</v>
      </c>
      <c r="N185" s="330">
        <f t="shared" ca="1" si="61"/>
        <v>-456000</v>
      </c>
      <c r="O185" s="330">
        <f t="shared" ca="1" si="61"/>
        <v>-528000</v>
      </c>
    </row>
    <row r="186" spans="2:15">
      <c r="B186" s="1700"/>
      <c r="C186" s="19" t="s">
        <v>341</v>
      </c>
      <c r="D186" s="19">
        <v>0</v>
      </c>
      <c r="E186" s="330">
        <f ca="1">E$177+E185</f>
        <v>0</v>
      </c>
      <c r="F186" s="330">
        <f t="shared" ref="F186:O186" ca="1" si="62">F$177+F185</f>
        <v>-66000</v>
      </c>
      <c r="G186" s="330">
        <f t="shared" ca="1" si="62"/>
        <v>593361.00000000093</v>
      </c>
      <c r="H186" s="330">
        <f t="shared" ca="1" si="62"/>
        <v>1454601.0000000009</v>
      </c>
      <c r="I186" s="330">
        <f t="shared" ca="1" si="62"/>
        <v>2540151.0000000009</v>
      </c>
      <c r="J186" s="330">
        <f t="shared" ca="1" si="62"/>
        <v>3850011.0000000009</v>
      </c>
      <c r="K186" s="330">
        <f t="shared" ca="1" si="62"/>
        <v>5159871.0000000009</v>
      </c>
      <c r="L186" s="330">
        <f t="shared" ca="1" si="62"/>
        <v>6469731.0000000009</v>
      </c>
      <c r="M186" s="330">
        <f t="shared" ca="1" si="62"/>
        <v>7713591.0000000009</v>
      </c>
      <c r="N186" s="330">
        <f t="shared" ca="1" si="62"/>
        <v>8987451</v>
      </c>
      <c r="O186" s="330">
        <f t="shared" ca="1" si="62"/>
        <v>10261311</v>
      </c>
    </row>
    <row r="187" spans="2:15">
      <c r="B187" s="1700" t="s">
        <v>292</v>
      </c>
      <c r="C187" s="19" t="s">
        <v>291</v>
      </c>
      <c r="D187" s="19">
        <v>0</v>
      </c>
      <c r="E187" s="330">
        <f t="shared" ref="E187:O187" ca="1" si="63">-(E162+E163)</f>
        <v>0</v>
      </c>
      <c r="F187" s="330">
        <f t="shared" ca="1" si="63"/>
        <v>0</v>
      </c>
      <c r="G187" s="330">
        <f t="shared" ca="1" si="63"/>
        <v>0</v>
      </c>
      <c r="H187" s="330">
        <f t="shared" ca="1" si="63"/>
        <v>0</v>
      </c>
      <c r="I187" s="330">
        <f t="shared" ca="1" si="63"/>
        <v>0</v>
      </c>
      <c r="J187" s="330">
        <f t="shared" ca="1" si="63"/>
        <v>0</v>
      </c>
      <c r="K187" s="330">
        <f t="shared" ca="1" si="63"/>
        <v>0</v>
      </c>
      <c r="L187" s="330">
        <f t="shared" ca="1" si="63"/>
        <v>0</v>
      </c>
      <c r="M187" s="330">
        <f t="shared" ca="1" si="63"/>
        <v>0</v>
      </c>
      <c r="N187" s="330">
        <f t="shared" ca="1" si="63"/>
        <v>0</v>
      </c>
      <c r="O187" s="330">
        <f t="shared" ca="1" si="63"/>
        <v>0</v>
      </c>
    </row>
    <row r="188" spans="2:15">
      <c r="B188" s="1700"/>
      <c r="C188" s="19" t="s">
        <v>340</v>
      </c>
      <c r="D188" s="19"/>
      <c r="E188" s="330">
        <f ca="1">E187</f>
        <v>0</v>
      </c>
      <c r="F188" s="330">
        <f t="shared" ref="F188:O188" ca="1" si="64">E188+F187</f>
        <v>0</v>
      </c>
      <c r="G188" s="330">
        <f t="shared" ca="1" si="64"/>
        <v>0</v>
      </c>
      <c r="H188" s="330">
        <f t="shared" ca="1" si="64"/>
        <v>0</v>
      </c>
      <c r="I188" s="330">
        <f t="shared" ca="1" si="64"/>
        <v>0</v>
      </c>
      <c r="J188" s="330">
        <f t="shared" ca="1" si="64"/>
        <v>0</v>
      </c>
      <c r="K188" s="330">
        <f t="shared" ca="1" si="64"/>
        <v>0</v>
      </c>
      <c r="L188" s="330">
        <f t="shared" ca="1" si="64"/>
        <v>0</v>
      </c>
      <c r="M188" s="330">
        <f t="shared" ca="1" si="64"/>
        <v>0</v>
      </c>
      <c r="N188" s="330">
        <f t="shared" ca="1" si="64"/>
        <v>0</v>
      </c>
      <c r="O188" s="330">
        <f t="shared" ca="1" si="64"/>
        <v>0</v>
      </c>
    </row>
    <row r="189" spans="2:15">
      <c r="B189" s="1700"/>
      <c r="C189" s="19" t="s">
        <v>341</v>
      </c>
      <c r="D189" s="19">
        <v>0</v>
      </c>
      <c r="E189" s="330">
        <f ca="1">E$177+E188</f>
        <v>0</v>
      </c>
      <c r="F189" s="330">
        <f t="shared" ref="F189:O189" ca="1" si="65">F$177+F188</f>
        <v>0</v>
      </c>
      <c r="G189" s="330">
        <f t="shared" ca="1" si="65"/>
        <v>695361.00000000093</v>
      </c>
      <c r="H189" s="330">
        <f t="shared" ca="1" si="65"/>
        <v>1592601.0000000009</v>
      </c>
      <c r="I189" s="330">
        <f t="shared" ca="1" si="65"/>
        <v>2714151.0000000009</v>
      </c>
      <c r="J189" s="330">
        <f t="shared" ca="1" si="65"/>
        <v>4060011.0000000009</v>
      </c>
      <c r="K189" s="330">
        <f t="shared" ca="1" si="65"/>
        <v>5405871.0000000009</v>
      </c>
      <c r="L189" s="330">
        <f t="shared" ca="1" si="65"/>
        <v>6751731.0000000009</v>
      </c>
      <c r="M189" s="330">
        <f t="shared" ca="1" si="65"/>
        <v>8097591.0000000009</v>
      </c>
      <c r="N189" s="330">
        <f t="shared" ca="1" si="65"/>
        <v>9443451</v>
      </c>
      <c r="O189" s="330">
        <f t="shared" ca="1" si="65"/>
        <v>10789311</v>
      </c>
    </row>
  </sheetData>
  <mergeCells count="4">
    <mergeCell ref="B178:B180"/>
    <mergeCell ref="B181:B183"/>
    <mergeCell ref="B184:B186"/>
    <mergeCell ref="B187:B189"/>
  </mergeCells>
  <phoneticPr fontId="2"/>
  <pageMargins left="0.75" right="0.75" top="1" bottom="1" header="0.51200000000000001" footer="0.51200000000000001"/>
  <pageSetup paperSize="8"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18</vt:i4>
      </vt:variant>
    </vt:vector>
  </HeadingPairs>
  <TitlesOfParts>
    <vt:vector size="32" baseType="lpstr">
      <vt:lpstr>シート説明</vt:lpstr>
      <vt:lpstr>基礎情報</vt:lpstr>
      <vt:lpstr>現業務調査</vt:lpstr>
      <vt:lpstr>業務書類量調査</vt:lpstr>
      <vt:lpstr>導入後効果予測</vt:lpstr>
      <vt:lpstr>目標電子化率</vt:lpstr>
      <vt:lpstr>●計算表</vt:lpstr>
      <vt:lpstr>●削減効果</vt:lpstr>
      <vt:lpstr>投資情報</vt:lpstr>
      <vt:lpstr>●ｼﾐｭﾚｰｼｮﾝ結果</vt:lpstr>
      <vt:lpstr>&lt;参考&gt;●調査結果早見表</vt:lpstr>
      <vt:lpstr>&lt;参考&gt;●現在の業務の総コスト</vt:lpstr>
      <vt:lpstr>&lt;参考&gt;●総コスト算出WS</vt:lpstr>
      <vt:lpstr>Sheet1</vt:lpstr>
      <vt:lpstr>BusinessCycle</vt:lpstr>
      <vt:lpstr>DInvestCalcRate</vt:lpstr>
      <vt:lpstr>DpercentRate</vt:lpstr>
      <vt:lpstr>KInvestCalcRate</vt:lpstr>
      <vt:lpstr>KpercentRate</vt:lpstr>
      <vt:lpstr>'&lt;参考&gt;●現在の業務の総コスト'!Print_Area</vt:lpstr>
      <vt:lpstr>'&lt;参考&gt;●調査結果早見表'!Print_Area</vt:lpstr>
      <vt:lpstr>●ｼﾐｭﾚｰｼｮﾝ結果!Print_Area</vt:lpstr>
      <vt:lpstr>●計算表!Print_Area</vt:lpstr>
      <vt:lpstr>●削減効果!Print_Area</vt:lpstr>
      <vt:lpstr>シート説明!Print_Area</vt:lpstr>
      <vt:lpstr>業務書類量調査!Print_Area</vt:lpstr>
      <vt:lpstr>現業務調査!Print_Area</vt:lpstr>
      <vt:lpstr>投資情報!Print_Area</vt:lpstr>
      <vt:lpstr>導入後効果予測!Print_Area</vt:lpstr>
      <vt:lpstr>目標電子化率!Print_Area</vt:lpstr>
      <vt:lpstr>●計算表!Print_Titles</vt:lpstr>
      <vt:lpstr>現業務調査!Print_Titles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hoashi kouji</dc:creator>
  <cp:lastModifiedBy>hoashi kouji</cp:lastModifiedBy>
  <cp:lastPrinted>2013-12-10T04:34:42Z</cp:lastPrinted>
  <dcterms:created xsi:type="dcterms:W3CDTF">2011-03-17T23:50:00Z</dcterms:created>
  <dcterms:modified xsi:type="dcterms:W3CDTF">2017-07-04T05:30:14Z</dcterms:modified>
</cp:coreProperties>
</file>